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698EE53-04AA-4050-832B-D2CDCE5BE78F}" xr6:coauthVersionLast="36" xr6:coauthVersionMax="43" xr10:uidLastSave="{00000000-0000-0000-0000-000000000000}"/>
  <bookViews>
    <workbookView xWindow="0" yWindow="0" windowWidth="20490" windowHeight="8130" xr2:uid="{00000000-000D-0000-FFFF-FFFF00000000}"/>
  </bookViews>
  <sheets>
    <sheet name="Geral" sheetId="11" r:id="rId1"/>
    <sheet name="Junho" sheetId="3" r:id="rId2"/>
    <sheet name="Julho" sheetId="4" r:id="rId3"/>
    <sheet name="Agosto" sheetId="5" r:id="rId4"/>
    <sheet name="Setembro" sheetId="6" r:id="rId5"/>
    <sheet name="Outubro" sheetId="8" r:id="rId6"/>
    <sheet name="Novembro" sheetId="9" r:id="rId7"/>
    <sheet name="Dezembro" sheetId="10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0" l="1"/>
  <c r="D5" i="9"/>
  <c r="D5" i="8"/>
  <c r="D5" i="6"/>
  <c r="D5" i="5"/>
  <c r="D5" i="4"/>
  <c r="D11" i="11"/>
  <c r="D10" i="11"/>
  <c r="D9" i="11"/>
  <c r="D8" i="11"/>
  <c r="D7" i="11"/>
  <c r="E26" i="10"/>
  <c r="D12" i="11" s="1"/>
  <c r="D4" i="10"/>
  <c r="D3" i="10"/>
  <c r="D2" i="10"/>
  <c r="E26" i="9"/>
  <c r="D4" i="9"/>
  <c r="D3" i="9"/>
  <c r="D2" i="9"/>
  <c r="E26" i="8"/>
  <c r="D4" i="8"/>
  <c r="D3" i="8"/>
  <c r="D2" i="8"/>
  <c r="E26" i="6"/>
  <c r="D4" i="6"/>
  <c r="D3" i="6"/>
  <c r="D2" i="6"/>
  <c r="E26" i="5"/>
  <c r="D4" i="5"/>
  <c r="D3" i="5"/>
  <c r="D2" i="5"/>
  <c r="E26" i="4"/>
  <c r="D4" i="4"/>
  <c r="D3" i="4"/>
  <c r="D2" i="4"/>
  <c r="D4" i="3" l="1"/>
  <c r="E3" i="11" s="1"/>
  <c r="D3" i="3"/>
  <c r="E2" i="11" s="1"/>
  <c r="D2" i="3"/>
  <c r="E26" i="3"/>
  <c r="D6" i="11" s="1"/>
  <c r="D13" i="11" s="1"/>
  <c r="D5" i="3" l="1"/>
  <c r="E1" i="11"/>
  <c r="E4" i="11" s="1"/>
</calcChain>
</file>

<file path=xl/sharedStrings.xml><?xml version="1.0" encoding="utf-8"?>
<sst xmlns="http://schemas.openxmlformats.org/spreadsheetml/2006/main" count="646" uniqueCount="49">
  <si>
    <t>Gás</t>
  </si>
  <si>
    <t>Licenciamento</t>
  </si>
  <si>
    <t>Manutenção</t>
  </si>
  <si>
    <t>Saúde</t>
  </si>
  <si>
    <t>Supermercado</t>
  </si>
  <si>
    <t>Alimentação</t>
  </si>
  <si>
    <t>Academia</t>
  </si>
  <si>
    <t>Categoria</t>
  </si>
  <si>
    <t>Descrição</t>
  </si>
  <si>
    <t>Data</t>
  </si>
  <si>
    <t>Valor</t>
  </si>
  <si>
    <t>Status</t>
  </si>
  <si>
    <t>Tratamento odontológico</t>
  </si>
  <si>
    <t>Moradia</t>
  </si>
  <si>
    <t>Aluguel</t>
  </si>
  <si>
    <t>Pago</t>
  </si>
  <si>
    <t>Débito</t>
  </si>
  <si>
    <t>Parcelado</t>
  </si>
  <si>
    <t>Internet</t>
  </si>
  <si>
    <t>Eletricidade</t>
  </si>
  <si>
    <t>Água</t>
  </si>
  <si>
    <t>Jantar</t>
  </si>
  <si>
    <t>Numeração</t>
  </si>
  <si>
    <t>Transporte</t>
  </si>
  <si>
    <t>Ônibus</t>
  </si>
  <si>
    <t>Gasolina</t>
  </si>
  <si>
    <t>Veículo</t>
  </si>
  <si>
    <t>Uber</t>
  </si>
  <si>
    <t>Pessoais</t>
  </si>
  <si>
    <t>Barbeiro</t>
  </si>
  <si>
    <t>Poupança</t>
  </si>
  <si>
    <t>Cloudxlsx.com</t>
  </si>
  <si>
    <t>Pet</t>
  </si>
  <si>
    <t>Banho</t>
  </si>
  <si>
    <t>Veterinário</t>
  </si>
  <si>
    <t>Total</t>
  </si>
  <si>
    <t>Comentário</t>
  </si>
  <si>
    <t>N/D</t>
  </si>
  <si>
    <t>Receita - Despesas</t>
  </si>
  <si>
    <t>Junho</t>
  </si>
  <si>
    <t>Julho</t>
  </si>
  <si>
    <t>Agosto</t>
  </si>
  <si>
    <t>Setembro</t>
  </si>
  <si>
    <t>Outubro</t>
  </si>
  <si>
    <t>Novembro</t>
  </si>
  <si>
    <t>Dezembro</t>
  </si>
  <si>
    <t>Mês</t>
  </si>
  <si>
    <t>Receitas</t>
  </si>
  <si>
    <t>Receitas -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</si>
</sst>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R$&quot;\ * #,##0.00_-;\-&quot;R$&quot;\ * #,##0.00_-;_-&quot;R$&quot;\ * &quot;-&quot;??_-;_-@_-"/>
    <numFmt numFmtId="164" formatCode="[&lt;=9999999]###\-####;\(###\)\ ###\-####"/>
    <numFmt numFmtId="165" formatCode="&quot;R$&quot;\ #,##0.00"/>
    <numFmt numFmtId="166" formatCode="[$-F800]dddd\,\ mmmm\ dd\,\ yyyy"/>
  </numFmts>
  <fonts count="14" x14ac:knownFonts="1">
    <font>
      <sz val="10"/>
      <color theme="1" tint="0.24994659260841701"/>
      <name val="Lucida Sans"/>
      <family val="2"/>
      <scheme val="minor"/>
    </font>
    <font>
      <sz val="10"/>
      <color theme="1" tint="0.24994659260841701"/>
      <name val="Rockwell"/>
      <family val="2"/>
      <scheme val="major"/>
    </font>
    <font>
      <b/>
      <sz val="10"/>
      <color theme="1" tint="0.24994659260841701"/>
      <name val="Rockwell"/>
      <family val="2"/>
      <scheme val="major"/>
    </font>
    <font>
      <sz val="22"/>
      <color theme="3" tint="0.24994659260841701"/>
      <name val="Rockwell"/>
      <family val="2"/>
      <scheme val="major"/>
    </font>
    <font>
      <sz val="11"/>
      <color theme="4" tint="-0.499984740745262"/>
      <name val="Lucida Sans"/>
      <family val="2"/>
      <scheme val="minor"/>
    </font>
    <font>
      <sz val="10"/>
      <color theme="1" tint="0.24994659260841701"/>
      <name val="Lucida Sans"/>
      <family val="2"/>
      <scheme val="minor"/>
    </font>
    <font>
      <sz val="12"/>
      <name val="Calibri"/>
      <family val="2"/>
    </font>
    <font>
      <b/>
      <sz val="12"/>
      <color theme="0"/>
      <name val="Calibri"/>
      <family val="2"/>
    </font>
    <font>
      <b/>
      <sz val="15"/>
      <color theme="0"/>
      <name val="Abadi"/>
      <family val="2"/>
    </font>
    <font>
      <b/>
      <sz val="12"/>
      <name val="Abadi"/>
      <family val="2"/>
    </font>
    <font>
      <b/>
      <sz val="15"/>
      <color theme="0"/>
      <name val="Calibri"/>
      <family val="2"/>
    </font>
    <font>
      <b/>
      <sz val="12"/>
      <color theme="1"/>
      <name val="Calibri"/>
      <family val="2"/>
    </font>
    <font>
      <b/>
      <sz val="13"/>
      <color theme="0"/>
      <name val="Abadi"/>
      <family val="2"/>
    </font>
    <font>
      <b/>
      <sz val="10"/>
      <color theme="1" tint="0.24994659260841701"/>
      <name val="Lucida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2" tint="0.79995117038483843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-0.499984740745262"/>
        <bgColor theme="2" tint="0.79995117038483843"/>
      </patternFill>
    </fill>
    <fill>
      <patternFill patternType="solid">
        <fgColor rgb="FFFFC000"/>
        <bgColor theme="2" tint="0.79995117038483843"/>
      </patternFill>
    </fill>
    <fill>
      <patternFill patternType="solid">
        <fgColor theme="9" tint="-0.499984740745262"/>
        <bgColor theme="2" tint="0.79995117038483843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theme="0" tint="-0.249977111117893"/>
      </bottom>
      <diagonal/>
    </border>
  </borders>
  <cellStyleXfs count="7">
    <xf numFmtId="0" fontId="0" fillId="0" borderId="0"/>
    <xf numFmtId="0" fontId="3" fillId="0" borderId="1" applyNumberFormat="0" applyFill="0" applyAlignment="0" applyProtection="0"/>
    <xf numFmtId="0" fontId="1" fillId="0" borderId="2" applyNumberFormat="0" applyFill="0" applyBorder="0" applyAlignment="0" applyProtection="0"/>
    <xf numFmtId="0" fontId="2" fillId="0" borderId="3" applyNumberFormat="0" applyFill="0" applyBorder="0" applyAlignment="0" applyProtection="0"/>
    <xf numFmtId="16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3" borderId="0" xfId="0" applyFill="1"/>
    <xf numFmtId="0" fontId="6" fillId="4" borderId="4" xfId="0" applyFont="1" applyFill="1" applyBorder="1" applyAlignment="1">
      <alignment horizontal="center" vertical="center"/>
    </xf>
    <xf numFmtId="165" fontId="6" fillId="4" borderId="4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165" fontId="6" fillId="4" borderId="0" xfId="0" applyNumberFormat="1" applyFont="1" applyFill="1" applyBorder="1" applyAlignment="1">
      <alignment horizontal="center" vertical="center"/>
    </xf>
    <xf numFmtId="166" fontId="6" fillId="4" borderId="4" xfId="0" applyNumberFormat="1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44" fontId="10" fillId="2" borderId="0" xfId="6" applyFont="1" applyFill="1" applyAlignment="1">
      <alignment vertical="center"/>
    </xf>
    <xf numFmtId="44" fontId="7" fillId="9" borderId="0" xfId="6" applyFont="1" applyFill="1" applyAlignment="1">
      <alignment vertical="center"/>
    </xf>
    <xf numFmtId="44" fontId="7" fillId="10" borderId="0" xfId="6" applyFont="1" applyFill="1" applyAlignment="1">
      <alignment vertical="center"/>
    </xf>
    <xf numFmtId="44" fontId="10" fillId="2" borderId="0" xfId="6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44" fontId="11" fillId="7" borderId="0" xfId="0" applyNumberFormat="1" applyFont="1" applyFill="1" applyBorder="1" applyAlignment="1">
      <alignment horizontal="center" vertical="center"/>
    </xf>
    <xf numFmtId="44" fontId="11" fillId="2" borderId="0" xfId="6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13" fillId="0" borderId="0" xfId="0" applyFont="1"/>
  </cellXfs>
  <cellStyles count="7">
    <cellStyle name="Data" xfId="5" xr:uid="{FE33F3B2-B201-45AD-A81E-81BCB12ED9D2}"/>
    <cellStyle name="Moeda" xfId="6" builtinId="4"/>
    <cellStyle name="Normal" xfId="0" builtinId="0" customBuiltin="1"/>
    <cellStyle name="Telefone" xfId="4" xr:uid="{70E46558-98AC-446F-861A-54F270CBD905}"/>
    <cellStyle name="Título 1" xfId="1" builtinId="16" customBuiltin="1"/>
    <cellStyle name="Título 2" xfId="2" builtinId="17" customBuiltin="1"/>
    <cellStyle name="Título 3" xfId="3" builtinId="18" customBuiltin="1"/>
  </cellStyles>
  <dxfs count="1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6" formatCode="[$-F800]dddd\,\ mmmm\ dd\,\ yyyy"/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theme="2" tint="0.79995117038483843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bad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bad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bad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bad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bad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badi"/>
        <family val="2"/>
        <scheme val="none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6" formatCode="[$-F800]dddd\,\ mmmm\ dd\,\ yyyy"/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theme="2" tint="0.79995117038483843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bad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bad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bad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6" formatCode="[$-F800]dddd\,\ mmmm\ dd\,\ yyyy"/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theme="2" tint="0.79995117038483843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6" formatCode="[$-F800]dddd\,\ mmmm\ dd\,\ yyyy"/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theme="2" tint="0.79995117038483843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6" formatCode="[$-F800]dddd\,\ mmmm\ dd\,\ yyyy"/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theme="2" tint="0.79995117038483843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6" formatCode="[$-F800]dddd\,\ mmmm\ dd\,\ yyyy"/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theme="2" tint="0.79995117038483843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6" formatCode="[$-F800]dddd\,\ mmmm\ dd\,\ yyyy"/>
      <fill>
        <patternFill patternType="solid">
          <fgColor theme="2" tint="0.79995117038483843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theme="2" tint="0.79995117038483843"/>
          <bgColor theme="5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5" formatCode="&quot;R$&quot;\ #,##0.00"/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2" tint="0.79995117038483843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0" tint="-0.249977111117893"/>
        </bottom>
        <vertical/>
        <horizontal/>
      </border>
    </dxf>
    <dxf>
      <border outline="0">
        <bottom style="thin">
          <color theme="0" tint="-0.249977111117893"/>
        </bottom>
      </border>
    </dxf>
    <dxf>
      <border outline="0">
        <bottom style="thin">
          <color theme="0" tint="-0.249977111117893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ill>
        <patternFill patternType="solid">
          <fgColor theme="2" tint="0.59996337778862885"/>
          <bgColor theme="0" tint="-4.9989318521683403E-2"/>
        </patternFill>
      </fill>
    </dxf>
    <dxf>
      <fill>
        <patternFill patternType="solid">
          <fgColor theme="2" tint="0.79995117038483843"/>
          <bgColor theme="2"/>
        </patternFill>
      </fill>
    </dxf>
    <dxf>
      <border>
        <top style="thin">
          <color theme="6" tint="-0.499984740745262"/>
        </top>
      </border>
    </dxf>
    <dxf>
      <font>
        <color theme="2" tint="0.79995117038483843"/>
      </font>
      <fill>
        <patternFill>
          <bgColor theme="6" tint="-0.499984740745262"/>
        </patternFill>
      </fill>
      <border>
        <top style="thick">
          <color theme="0"/>
        </top>
      </border>
    </dxf>
    <dxf>
      <font>
        <b val="0"/>
        <i val="0"/>
        <color auto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6" tint="-0.499984740745262"/>
        </bottom>
        <vertical/>
        <horizontal/>
      </border>
    </dxf>
  </dxfs>
  <tableStyles count="2" defaultTableStyle="TableStyleLight9" defaultPivotStyle="PivotStyleLight16">
    <tableStyle name="Catálogo de endereços" pivot="0" count="5" xr9:uid="{00000000-0011-0000-FFFF-FFFF00000000}">
      <tableStyleElement type="wholeTable" dxfId="116"/>
      <tableStyleElement type="headerRow" dxfId="115"/>
      <tableStyleElement type="totalRow" dxfId="114"/>
      <tableStyleElement type="firstRowStripe" dxfId="113"/>
      <tableStyleElement type="secondRowStripe" dxfId="112"/>
    </tableStyle>
    <tableStyle name="Orçamento pessoal mensal" pivot="0" count="7" xr9:uid="{DF2684C2-C435-47FA-9646-E632C3AE8948}">
      <tableStyleElement type="wholeTable" dxfId="111"/>
      <tableStyleElement type="headerRow" dxfId="110"/>
      <tableStyleElement type="totalRow" dxfId="109"/>
      <tableStyleElement type="firstColumn" dxfId="108"/>
      <tableStyleElement type="lastColumn" dxfId="107"/>
      <tableStyleElement type="firstRowStripe" dxfId="106"/>
      <tableStyleElement type="firstColumnStripe" dxfId="10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628652</xdr:colOff>
      <xdr:row>0</xdr:row>
      <xdr:rowOff>285750</xdr:rowOff>
    </xdr:from>
    <xdr:to>
      <xdr:col>1</xdr:col>
      <xdr:colOff>1151004</xdr:colOff>
      <xdr:row>3</xdr:row>
      <xdr:rowOff>57150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B2FED0-B36D-4FA4-89BD-7862135F2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2" y="285750"/>
          <a:ext cx="1208152" cy="102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381002</xdr:colOff>
      <xdr:row>2</xdr:row>
      <xdr:rowOff>28575</xdr:rowOff>
    </xdr:from>
    <xdr:to>
      <xdr:col>0</xdr:col>
      <xdr:colOff>1076326</xdr:colOff>
      <xdr:row>4</xdr:row>
      <xdr:rowOff>171449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211751F-BDC9-4ABB-A2FA-955F98B8E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2" y="342900"/>
          <a:ext cx="695324" cy="6953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161925</xdr:rowOff>
    </xdr:from>
    <xdr:to>
      <xdr:col>0</xdr:col>
      <xdr:colOff>1152524</xdr:colOff>
      <xdr:row>4</xdr:row>
      <xdr:rowOff>28574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E48629E-FFC6-4F8C-A83A-95C90DA7A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61925"/>
          <a:ext cx="695324" cy="6953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1</xdr:row>
      <xdr:rowOff>76200</xdr:rowOff>
    </xdr:from>
    <xdr:to>
      <xdr:col>0</xdr:col>
      <xdr:colOff>1142999</xdr:colOff>
      <xdr:row>3</xdr:row>
      <xdr:rowOff>200024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0DC70D-B23D-4E1C-8116-7EC9C693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76200"/>
          <a:ext cx="695324" cy="6953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66675</xdr:rowOff>
    </xdr:from>
    <xdr:to>
      <xdr:col>0</xdr:col>
      <xdr:colOff>1152524</xdr:colOff>
      <xdr:row>4</xdr:row>
      <xdr:rowOff>114299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ACCA15-67E3-4B27-86B7-579681C39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66675"/>
          <a:ext cx="695324" cy="6953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57150</xdr:rowOff>
    </xdr:from>
    <xdr:to>
      <xdr:col>0</xdr:col>
      <xdr:colOff>1066799</xdr:colOff>
      <xdr:row>4</xdr:row>
      <xdr:rowOff>104774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B9238B-EFE5-4E37-ADDB-CDA2C34AE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57150"/>
          <a:ext cx="695324" cy="6953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1</xdr:row>
      <xdr:rowOff>57150</xdr:rowOff>
    </xdr:from>
    <xdr:to>
      <xdr:col>0</xdr:col>
      <xdr:colOff>1123949</xdr:colOff>
      <xdr:row>4</xdr:row>
      <xdr:rowOff>104774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D83AA4A-8ED3-4991-B5A4-43911E951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57150"/>
          <a:ext cx="695324" cy="6953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104775</xdr:rowOff>
    </xdr:from>
    <xdr:to>
      <xdr:col>0</xdr:col>
      <xdr:colOff>1114424</xdr:colOff>
      <xdr:row>4</xdr:row>
      <xdr:rowOff>152399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454A56-15A8-4DB7-8112-108F1771D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04775"/>
          <a:ext cx="695324" cy="6953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F6A7285-84AC-4254-A5C3-16530E94AE26}" name="Tabela158" displayName="Tabela158" ref="B5:D13" totalsRowCount="1" headerRowDxfId="43" tableBorderDxfId="55">
  <autoFilter ref="B5:D12" xr:uid="{1A052733-9F18-4131-BDA9-E0F3CC73A9DC}"/>
  <tableColumns count="3">
    <tableColumn id="1" xr3:uid="{DC9C37C7-F4B9-47C6-BEB3-91349FF9C003}" name="Numeração" totalsRowLabel="Total" dataDxfId="54" totalsRowDxfId="52"/>
    <tableColumn id="2" xr3:uid="{B86E6BEF-F2EE-4D2A-8FD5-9B6FFC57532C}" name="Mês" dataDxfId="53" totalsRowDxfId="51"/>
    <tableColumn id="5" xr3:uid="{15740E01-DFBF-4755-8B02-D05D8B150144}" name="Valor" totalsRowFunction="sum" totalsRowDxfId="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166040C-C506-4D0D-859B-1C021FE2F6E6}" name="Tabela15" displayName="Tabela15" ref="A6:G26" totalsRowCount="1" headerRowDxfId="42" tableBorderDxfId="104">
  <autoFilter ref="A6:G25" xr:uid="{0B40EE03-5E73-46DF-B827-5453F52544B6}"/>
  <tableColumns count="7">
    <tableColumn id="1" xr3:uid="{75D99B39-585B-4E83-889D-1A5AD6A5513A}" name="Numeração" totalsRowLabel="Total" dataDxfId="11" totalsRowDxfId="10"/>
    <tableColumn id="2" xr3:uid="{594032B1-B976-482C-B415-D50C3E866386}" name="Categoria" dataDxfId="9" totalsRowDxfId="8"/>
    <tableColumn id="3" xr3:uid="{92C8E0F0-DC7B-474F-A325-1A6543E1116E}" name="Descrição" dataDxfId="7" totalsRowDxfId="6"/>
    <tableColumn id="4" xr3:uid="{3E8F4CE5-B182-439D-B250-B7DD53A3EF25}" name="Status" dataDxfId="5"/>
    <tableColumn id="5" xr3:uid="{72E1786D-BA76-473F-A5EF-D98B03541287}" name="Valor" totalsRowFunction="sum" totalsRowDxfId="4"/>
    <tableColumn id="7" xr3:uid="{9FE1935F-EC65-4B13-A99E-63002C06BB70}" name="Comentário" dataDxfId="3" totalsRowDxfId="2"/>
    <tableColumn id="6" xr3:uid="{827BA12F-44E3-476C-9813-BD621B7A6FC8}" name="Data" dataDxfId="1" totalsRow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BBCCDC-5026-40F0-B366-38D1E1A9809D}" name="Tabela152" displayName="Tabela152" ref="A6:G26" totalsRowCount="1" headerRowDxfId="41" tableBorderDxfId="103">
  <autoFilter ref="A6:G25" xr:uid="{39097607-DF7C-48FB-BACD-E5000FDCA8E8}"/>
  <tableColumns count="7">
    <tableColumn id="1" xr3:uid="{777C8B91-8BD9-4265-85A0-603112AF5341}" name="Numeração" totalsRowLabel="Total" dataDxfId="102" totalsRowDxfId="67"/>
    <tableColumn id="2" xr3:uid="{67836787-BFD3-472D-A656-32908E00B694}" name="Categoria" dataDxfId="101" totalsRowDxfId="66"/>
    <tableColumn id="3" xr3:uid="{E7751A79-560C-4F7B-8D7E-FC6AA60E2C64}" name="Descrição" dataDxfId="100" totalsRowDxfId="65"/>
    <tableColumn id="4" xr3:uid="{17ED82B8-65AE-4A52-AC98-CA13286B0464}" name="Status" dataDxfId="99"/>
    <tableColumn id="5" xr3:uid="{1A58D3D7-1C32-4DFF-8B45-5B6AC6E331FD}" name="Valor" totalsRowFunction="sum" totalsRowDxfId="64"/>
    <tableColumn id="7" xr3:uid="{48612572-0A5E-4446-9118-800528433FC2}" name="Comentário" dataDxfId="98" totalsRowDxfId="63"/>
    <tableColumn id="6" xr3:uid="{ABBC5640-EA73-43BA-B41E-E2034BA17F03}" name="Data" dataDxfId="97" totalsRowDxfId="6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AE2D50-C26F-4F3D-96F4-A0F211914014}" name="Tabela1523" displayName="Tabela1523" ref="A6:G26" totalsRowCount="1" headerRowDxfId="40" tableBorderDxfId="96">
  <autoFilter ref="A6:G25" xr:uid="{74C31FF3-1745-4289-937F-0B727A4FB9C4}"/>
  <tableColumns count="7">
    <tableColumn id="1" xr3:uid="{471358A8-D2D7-4FEE-A387-9984F96C4581}" name="Numeração" totalsRowLabel="Total" dataDxfId="95" totalsRowDxfId="61"/>
    <tableColumn id="2" xr3:uid="{8FA8E613-1B25-44EF-8688-3172C0565992}" name="Categoria" dataDxfId="94" totalsRowDxfId="60"/>
    <tableColumn id="3" xr3:uid="{2CF9656B-EC12-4A3B-BD32-846B619E08C4}" name="Descrição" dataDxfId="93" totalsRowDxfId="59"/>
    <tableColumn id="4" xr3:uid="{0199C139-6E64-439B-B405-A62B63A95907}" name="Status" dataDxfId="92"/>
    <tableColumn id="5" xr3:uid="{8F0564F4-C615-4D90-A94D-55A156D960E4}" name="Valor" totalsRowFunction="sum" totalsRowDxfId="58"/>
    <tableColumn id="7" xr3:uid="{AC2FB60D-DF69-46C7-AE46-E67F7AB1A2BB}" name="Comentário" dataDxfId="91" totalsRowDxfId="57"/>
    <tableColumn id="6" xr3:uid="{6B91FFC7-4516-456B-9D5B-120F04205EB3}" name="Data" dataDxfId="90" totalsRowDxfId="5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CE53ECD-503E-4B5F-AD6D-02B9792BCB61}" name="Tabela1524" displayName="Tabela1524" ref="A6:G26" totalsRowCount="1" headerRowDxfId="39" tableBorderDxfId="89">
  <autoFilter ref="A6:G25" xr:uid="{F6CCC1EE-D593-4E1C-9EF9-178DE2FCCF8B}"/>
  <tableColumns count="7">
    <tableColumn id="1" xr3:uid="{FF881F2D-F554-40E5-ACA3-30D58C848497}" name="Numeração" totalsRowLabel="Total" dataDxfId="88" totalsRowDxfId="38"/>
    <tableColumn id="2" xr3:uid="{528A6BF0-6FB7-4887-9DBA-3A5272B11DFF}" name="Categoria" dataDxfId="87" totalsRowDxfId="37"/>
    <tableColumn id="3" xr3:uid="{918F255A-ABE7-401F-9988-5FB2DEEBBD1E}" name="Descrição" dataDxfId="86" totalsRowDxfId="36"/>
    <tableColumn id="4" xr3:uid="{0A47B8D0-96BF-44DC-B317-9B1153A40456}" name="Status" dataDxfId="85"/>
    <tableColumn id="5" xr3:uid="{51283D83-50EE-498F-86CA-2A072F347096}" name="Valor" totalsRowFunction="sum" totalsRowDxfId="35"/>
    <tableColumn id="7" xr3:uid="{CAF5EAFC-76A9-4798-AA15-175986C9B342}" name="Comentário" dataDxfId="84" totalsRowDxfId="34"/>
    <tableColumn id="6" xr3:uid="{F6E2D9AC-C30B-4DCE-A6D0-B4B30827B30E}" name="Data" dataDxfId="83" totalsRowDxfId="3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EA08C91-E834-4A37-B5A9-FD10F6ABA30A}" name="Tabela1525" displayName="Tabela1525" ref="A6:G26" totalsRowCount="1" headerRowDxfId="32" tableBorderDxfId="82">
  <autoFilter ref="A6:G25" xr:uid="{71B72B2A-6470-4F6B-8677-4B57E27DFE60}"/>
  <tableColumns count="7">
    <tableColumn id="1" xr3:uid="{9B33B7A1-09D1-4277-BF70-7FAC25A02003}" name="Numeração" totalsRowLabel="Total" dataDxfId="81" totalsRowDxfId="31"/>
    <tableColumn id="2" xr3:uid="{3039C301-23CE-439E-BAE7-C172A8B40408}" name="Categoria" dataDxfId="80" totalsRowDxfId="30"/>
    <tableColumn id="3" xr3:uid="{EBD6F917-4D6E-45CE-99F5-97AAA0A95E02}" name="Descrição" dataDxfId="79" totalsRowDxfId="29"/>
    <tableColumn id="4" xr3:uid="{E29B1A5F-1F34-4A2F-913E-F9C9643FC528}" name="Status" dataDxfId="78"/>
    <tableColumn id="5" xr3:uid="{1B32AA53-291F-4EA1-B6F4-7B27BF6D0494}" name="Valor" totalsRowFunction="sum" totalsRowDxfId="28"/>
    <tableColumn id="7" xr3:uid="{609DD598-EBCC-45BE-80F1-E2F7A5E7208F}" name="Comentário" dataDxfId="77" totalsRowDxfId="27"/>
    <tableColumn id="6" xr3:uid="{215B70C4-1D52-46A7-AB5F-DC37D3964A79}" name="Data" dataDxfId="76" totalsRowDxfId="2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71FDE95-1D1C-423F-9521-6556221EA397}" name="Tabela15246" displayName="Tabela15246" ref="A6:G26" totalsRowCount="1" headerRowDxfId="25" tableBorderDxfId="75">
  <autoFilter ref="A6:G25" xr:uid="{2E882F62-E0FE-4908-B9F2-A25561D3C29A}"/>
  <tableColumns count="7">
    <tableColumn id="1" xr3:uid="{C15DA932-059A-4794-8DD0-9B29CDB0723E}" name="Numeração" totalsRowLabel="Total" dataDxfId="74" totalsRowDxfId="24"/>
    <tableColumn id="2" xr3:uid="{4E795296-8A87-401E-8404-161C90C8B8C2}" name="Categoria" dataDxfId="73" totalsRowDxfId="23"/>
    <tableColumn id="3" xr3:uid="{EFE1370F-271B-4145-9097-2389CF492CC4}" name="Descrição" dataDxfId="72" totalsRowDxfId="22"/>
    <tableColumn id="4" xr3:uid="{7AC09607-EA37-49BB-961A-DC3FFB5DAC0E}" name="Status" dataDxfId="71"/>
    <tableColumn id="5" xr3:uid="{70EBA7F3-18C9-4993-9F14-EEF2EA436075}" name="Valor" totalsRowFunction="sum" totalsRowDxfId="21"/>
    <tableColumn id="7" xr3:uid="{5588AB80-CF37-4F47-A744-2D1FEF3E5CE4}" name="Comentário" dataDxfId="70" totalsRowDxfId="20"/>
    <tableColumn id="6" xr3:uid="{F6E845C9-70E4-4C8C-AAAE-6CD88223F7AC}" name="Data" dataDxfId="69" totalsRowDxfId="1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E6214DB-77EE-4B51-A552-728B84D392F3}" name="Tabela15247" displayName="Tabela15247" ref="A6:G26" totalsRowCount="1" headerRowDxfId="18" tableBorderDxfId="68">
  <autoFilter ref="A6:G25" xr:uid="{56987894-FCD0-44BD-91AD-0F72BDC60760}"/>
  <tableColumns count="7">
    <tableColumn id="1" xr3:uid="{5104B4E5-BE7E-4429-B49E-E4CF8E751B57}" name="Numeração" totalsRowLabel="Total" dataDxfId="49" totalsRowDxfId="17"/>
    <tableColumn id="2" xr3:uid="{CEF43F56-D583-4CA3-9514-2C22C9DE12C4}" name="Categoria" dataDxfId="48" totalsRowDxfId="16"/>
    <tableColumn id="3" xr3:uid="{CEE751EA-CF51-45DE-9257-C70B5179A77B}" name="Descrição" dataDxfId="47" totalsRowDxfId="15"/>
    <tableColumn id="4" xr3:uid="{EE73A678-B44F-4D22-9936-C56E42D4F2B1}" name="Status" dataDxfId="46"/>
    <tableColumn id="5" xr3:uid="{57042869-19AF-48CB-80E8-0B2EE064E167}" name="Valor" totalsRowFunction="sum" totalsRowDxfId="14"/>
    <tableColumn id="7" xr3:uid="{879B556B-7AAC-4444-93D3-2FC789A5A4C9}" name="Comentário" dataDxfId="45" totalsRowDxfId="13"/>
    <tableColumn id="6" xr3:uid="{B5BB3B97-E3F3-4B7A-A7A3-8C3C686678CC}" name="Data" dataDxfId="44" totalsRowDxfId="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70C0-CBF1-49C2-BAF3-4FFB1D8AE8C6}">
  <dimension ref="A1:F15"/>
  <sheetViews>
    <sheetView showGridLines="0" tabSelected="1" workbookViewId="0">
      <selection activeCell="E9" sqref="E9"/>
    </sheetView>
  </sheetViews>
  <sheetFormatPr defaultRowHeight="12.75" x14ac:dyDescent="0.2"/>
  <cols>
    <col min="2" max="5" width="38" customWidth="1"/>
    <col min="6" max="6" width="14.875" customWidth="1"/>
  </cols>
  <sheetData>
    <row r="1" spans="1:6" ht="33" customHeight="1" x14ac:dyDescent="0.2">
      <c r="A1" s="1"/>
      <c r="B1" s="1"/>
      <c r="C1" s="20" t="s">
        <v>31</v>
      </c>
      <c r="D1" s="11" t="s">
        <v>15</v>
      </c>
      <c r="E1" s="17">
        <f>Junho!D2+Julho!D2+Agosto!D2+Setembro!D2+Outubro!D2+Novembro!D2+Dezembro!D2</f>
        <v>43435</v>
      </c>
      <c r="F1" s="1"/>
    </row>
    <row r="2" spans="1:6" ht="33" customHeight="1" x14ac:dyDescent="0.2">
      <c r="A2" s="1"/>
      <c r="B2" s="1"/>
      <c r="C2" s="20"/>
      <c r="D2" s="21" t="s">
        <v>17</v>
      </c>
      <c r="E2" s="23">
        <f>Junho!D3+Julho!D3+Agosto!D3+Setembro!D3+Outubro!D3+Novembro!D3+Dezembro!D3</f>
        <v>7098</v>
      </c>
      <c r="F2" s="1"/>
    </row>
    <row r="3" spans="1:6" ht="33" customHeight="1" x14ac:dyDescent="0.2">
      <c r="A3" s="1"/>
      <c r="B3" s="1"/>
      <c r="C3" s="20"/>
      <c r="D3" s="15" t="s">
        <v>16</v>
      </c>
      <c r="E3" s="18">
        <f>Junho!D4+Julho!D4+Agosto!D4+Setembro!D4+Outubro!D4+Novembro!D4+Dezembro!D4</f>
        <v>7880</v>
      </c>
      <c r="F3" s="1"/>
    </row>
    <row r="4" spans="1:6" ht="33" customHeight="1" x14ac:dyDescent="0.2">
      <c r="A4" s="1"/>
      <c r="B4" s="1"/>
      <c r="C4" s="20"/>
      <c r="D4" s="21" t="s">
        <v>35</v>
      </c>
      <c r="E4" s="22">
        <f>SUM(E1,E2,E3)</f>
        <v>58413</v>
      </c>
      <c r="F4" s="1"/>
    </row>
    <row r="5" spans="1:6" ht="33" customHeight="1" x14ac:dyDescent="0.2">
      <c r="A5" s="1"/>
      <c r="B5" s="24" t="s">
        <v>22</v>
      </c>
      <c r="C5" s="24" t="s">
        <v>46</v>
      </c>
      <c r="D5" s="24" t="s">
        <v>10</v>
      </c>
      <c r="E5" s="1"/>
      <c r="F5" s="1"/>
    </row>
    <row r="6" spans="1:6" ht="33" customHeight="1" x14ac:dyDescent="0.2">
      <c r="A6" s="1"/>
      <c r="B6" s="3">
        <v>1</v>
      </c>
      <c r="C6" s="4" t="s">
        <v>39</v>
      </c>
      <c r="D6" s="4">
        <f>Tabela15[[#Totals],[Valor]]</f>
        <v>8259</v>
      </c>
      <c r="E6" s="1"/>
      <c r="F6" s="1"/>
    </row>
    <row r="7" spans="1:6" ht="33" customHeight="1" x14ac:dyDescent="0.2">
      <c r="A7" s="1"/>
      <c r="B7" s="3">
        <v>2</v>
      </c>
      <c r="C7" s="4" t="s">
        <v>40</v>
      </c>
      <c r="D7" s="4">
        <f>Tabela152[[#Totals],[Valor]]</f>
        <v>8359</v>
      </c>
      <c r="E7" s="1"/>
      <c r="F7" s="1"/>
    </row>
    <row r="8" spans="1:6" ht="33" customHeight="1" x14ac:dyDescent="0.2">
      <c r="A8" s="1"/>
      <c r="B8" s="3">
        <v>3</v>
      </c>
      <c r="C8" s="4" t="s">
        <v>41</v>
      </c>
      <c r="D8" s="4">
        <f>Tabela1523[[#Totals],[Valor]]</f>
        <v>8359</v>
      </c>
      <c r="E8" s="1"/>
      <c r="F8" s="1"/>
    </row>
    <row r="9" spans="1:6" ht="33" customHeight="1" x14ac:dyDescent="0.2">
      <c r="A9" s="1"/>
      <c r="B9" s="3">
        <v>4</v>
      </c>
      <c r="C9" s="4" t="s">
        <v>42</v>
      </c>
      <c r="D9" s="4">
        <f>Tabela1524[[#Totals],[Valor]]</f>
        <v>8359</v>
      </c>
      <c r="E9" s="1"/>
      <c r="F9" s="1"/>
    </row>
    <row r="10" spans="1:6" ht="33" customHeight="1" x14ac:dyDescent="0.2">
      <c r="A10" s="1"/>
      <c r="B10" s="3">
        <v>5</v>
      </c>
      <c r="C10" s="4" t="s">
        <v>43</v>
      </c>
      <c r="D10" s="4">
        <f>Tabela1525[[#Totals],[Valor]]</f>
        <v>8359</v>
      </c>
      <c r="E10" s="1"/>
      <c r="F10" s="1"/>
    </row>
    <row r="11" spans="1:6" ht="33" customHeight="1" x14ac:dyDescent="0.2">
      <c r="A11" s="1"/>
      <c r="B11" s="3">
        <v>6</v>
      </c>
      <c r="C11" s="4" t="s">
        <v>44</v>
      </c>
      <c r="D11" s="4">
        <f>Tabela15246[[#Totals],[Valor]]</f>
        <v>8359</v>
      </c>
      <c r="E11" s="1"/>
      <c r="F11" s="1"/>
    </row>
    <row r="12" spans="1:6" ht="33" customHeight="1" x14ac:dyDescent="0.2">
      <c r="A12" s="1"/>
      <c r="B12" s="3">
        <v>7</v>
      </c>
      <c r="C12" s="4" t="s">
        <v>45</v>
      </c>
      <c r="D12" s="4">
        <f>Tabela15247[[#Totals],[Valor]]</f>
        <v>8359</v>
      </c>
      <c r="E12" s="1"/>
      <c r="F12" s="1"/>
    </row>
    <row r="13" spans="1:6" ht="33" customHeight="1" x14ac:dyDescent="0.2">
      <c r="A13" s="1"/>
      <c r="B13" s="13" t="s">
        <v>35</v>
      </c>
      <c r="C13" s="5"/>
      <c r="D13" s="6">
        <f>SUBTOTAL(109,Tabela158[Valor])</f>
        <v>58413</v>
      </c>
      <c r="E13" s="1"/>
      <c r="F13" s="1"/>
    </row>
    <row r="14" spans="1:6" ht="33.75" customHeight="1" x14ac:dyDescent="0.2">
      <c r="A14" s="1"/>
      <c r="B14" s="1"/>
      <c r="C14" s="1"/>
      <c r="D14" s="1"/>
      <c r="E14" s="1"/>
      <c r="F14" s="1"/>
    </row>
    <row r="15" spans="1:6" ht="33.75" customHeight="1" x14ac:dyDescent="0.2">
      <c r="A15" s="1"/>
      <c r="B15" s="1"/>
      <c r="C15" s="1"/>
      <c r="D15" s="1"/>
      <c r="E15" s="1"/>
      <c r="F15" s="1"/>
    </row>
  </sheetData>
  <mergeCells count="1">
    <mergeCell ref="C1:C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BB05C-05AF-4601-A601-9DB2336C75F0}">
  <dimension ref="A1:ABF26"/>
  <sheetViews>
    <sheetView showGridLines="0" workbookViewId="0">
      <selection activeCell="E11" sqref="E11"/>
    </sheetView>
  </sheetViews>
  <sheetFormatPr defaultRowHeight="12.75" x14ac:dyDescent="0.2"/>
  <cols>
    <col min="1" max="1" width="18.75" customWidth="1"/>
    <col min="2" max="4" width="28.625" customWidth="1"/>
    <col min="5" max="6" width="14.875" customWidth="1"/>
    <col min="7" max="7" width="29.375" customWidth="1"/>
    <col min="8" max="8" width="12.375" customWidth="1"/>
  </cols>
  <sheetData>
    <row r="1" spans="1:734" ht="18" customHeight="1" x14ac:dyDescent="0.2">
      <c r="A1" s="1"/>
      <c r="B1" s="1"/>
      <c r="C1" s="21" t="s">
        <v>47</v>
      </c>
      <c r="D1" s="22">
        <v>3400</v>
      </c>
      <c r="E1" s="1"/>
      <c r="F1" s="1"/>
      <c r="G1" s="1"/>
    </row>
    <row r="2" spans="1:734" s="1" customFormat="1" ht="21.75" customHeight="1" x14ac:dyDescent="0.2">
      <c r="B2" s="20" t="s">
        <v>39</v>
      </c>
      <c r="C2" s="11" t="s">
        <v>15</v>
      </c>
      <c r="D2" s="17">
        <f>SUMIFS(Tabela15[Valor], Tabela15[Status], "Pago")</f>
        <v>6205</v>
      </c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</row>
    <row r="3" spans="1:734" s="1" customFormat="1" ht="21.75" customHeight="1" x14ac:dyDescent="0.2">
      <c r="B3" s="20"/>
      <c r="C3" s="21" t="s">
        <v>17</v>
      </c>
      <c r="D3" s="23">
        <f>SUMIFS(Tabela15[Valor], Tabela15[Status], "Parcelado")</f>
        <v>1014</v>
      </c>
      <c r="F3" s="16"/>
      <c r="G3" s="19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</row>
    <row r="4" spans="1:734" s="1" customFormat="1" ht="21.75" customHeight="1" x14ac:dyDescent="0.2">
      <c r="B4" s="20"/>
      <c r="C4" s="15" t="s">
        <v>16</v>
      </c>
      <c r="D4" s="18">
        <f>SUMIFS(Tabela15[Valor], Tabela15[Status], "Débito")</f>
        <v>1040</v>
      </c>
      <c r="F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</row>
    <row r="5" spans="1:734" s="1" customFormat="1" ht="24" customHeight="1" x14ac:dyDescent="0.2">
      <c r="B5" s="20"/>
      <c r="C5" s="21" t="s">
        <v>48</v>
      </c>
      <c r="D5" s="22">
        <f>D1-SUM(D2:D4)</f>
        <v>-4859</v>
      </c>
      <c r="E5" s="14"/>
      <c r="F5" s="16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</row>
    <row r="6" spans="1:734" s="2" customFormat="1" ht="39" customHeight="1" x14ac:dyDescent="0.2">
      <c r="A6" s="24" t="s">
        <v>22</v>
      </c>
      <c r="B6" s="24" t="s">
        <v>7</v>
      </c>
      <c r="C6" s="24" t="s">
        <v>8</v>
      </c>
      <c r="D6" s="24" t="s">
        <v>11</v>
      </c>
      <c r="E6" s="24" t="s">
        <v>10</v>
      </c>
      <c r="F6" s="24" t="s">
        <v>36</v>
      </c>
      <c r="G6" s="24" t="s">
        <v>9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</row>
    <row r="7" spans="1:734" ht="24" customHeight="1" x14ac:dyDescent="0.2">
      <c r="A7" s="3">
        <v>1</v>
      </c>
      <c r="B7" s="4" t="s">
        <v>13</v>
      </c>
      <c r="C7" s="3" t="s">
        <v>14</v>
      </c>
      <c r="D7" s="8" t="s">
        <v>15</v>
      </c>
      <c r="E7" s="4">
        <v>1900</v>
      </c>
      <c r="F7" s="4" t="s">
        <v>37</v>
      </c>
      <c r="G7" s="7">
        <v>46174</v>
      </c>
    </row>
    <row r="8" spans="1:734" ht="24" customHeight="1" x14ac:dyDescent="0.2">
      <c r="A8" s="3">
        <v>2</v>
      </c>
      <c r="B8" s="4" t="s">
        <v>13</v>
      </c>
      <c r="C8" s="3" t="s">
        <v>18</v>
      </c>
      <c r="D8" s="8" t="s">
        <v>15</v>
      </c>
      <c r="E8" s="4">
        <v>250</v>
      </c>
      <c r="F8" s="4" t="s">
        <v>37</v>
      </c>
      <c r="G8" s="7">
        <v>46175</v>
      </c>
    </row>
    <row r="9" spans="1:734" ht="24" customHeight="1" x14ac:dyDescent="0.2">
      <c r="A9" s="3">
        <v>3</v>
      </c>
      <c r="B9" s="4" t="s">
        <v>13</v>
      </c>
      <c r="C9" s="3" t="s">
        <v>19</v>
      </c>
      <c r="D9" s="8" t="s">
        <v>15</v>
      </c>
      <c r="E9" s="4">
        <v>500</v>
      </c>
      <c r="F9" s="4" t="s">
        <v>37</v>
      </c>
      <c r="G9" s="7">
        <v>46176</v>
      </c>
    </row>
    <row r="10" spans="1:734" ht="24" customHeight="1" x14ac:dyDescent="0.2">
      <c r="A10" s="3">
        <v>4</v>
      </c>
      <c r="B10" s="4" t="s">
        <v>13</v>
      </c>
      <c r="C10" s="3" t="s">
        <v>20</v>
      </c>
      <c r="D10" s="9" t="s">
        <v>16</v>
      </c>
      <c r="E10" s="4">
        <v>150</v>
      </c>
      <c r="F10" s="4" t="s">
        <v>37</v>
      </c>
      <c r="G10" s="7">
        <v>46177</v>
      </c>
    </row>
    <row r="11" spans="1:734" ht="24" customHeight="1" x14ac:dyDescent="0.2">
      <c r="A11" s="3">
        <v>5</v>
      </c>
      <c r="B11" s="4" t="s">
        <v>13</v>
      </c>
      <c r="C11" s="3" t="s">
        <v>0</v>
      </c>
      <c r="D11" s="10" t="s">
        <v>17</v>
      </c>
      <c r="E11" s="4">
        <v>120</v>
      </c>
      <c r="F11" s="4" t="s">
        <v>37</v>
      </c>
      <c r="G11" s="7">
        <v>46178</v>
      </c>
    </row>
    <row r="12" spans="1:734" ht="24" customHeight="1" x14ac:dyDescent="0.2">
      <c r="A12" s="3">
        <v>6</v>
      </c>
      <c r="B12" s="4" t="s">
        <v>5</v>
      </c>
      <c r="C12" s="3" t="s">
        <v>4</v>
      </c>
      <c r="D12" s="8" t="s">
        <v>15</v>
      </c>
      <c r="E12" s="4">
        <v>1600</v>
      </c>
      <c r="F12" s="4" t="s">
        <v>37</v>
      </c>
      <c r="G12" s="7">
        <v>46179</v>
      </c>
    </row>
    <row r="13" spans="1:734" ht="24" customHeight="1" x14ac:dyDescent="0.2">
      <c r="A13" s="3">
        <v>7</v>
      </c>
      <c r="B13" s="4" t="s">
        <v>5</v>
      </c>
      <c r="C13" s="3" t="s">
        <v>21</v>
      </c>
      <c r="D13" s="10" t="s">
        <v>17</v>
      </c>
      <c r="E13" s="4">
        <v>250</v>
      </c>
      <c r="F13" s="4" t="s">
        <v>37</v>
      </c>
      <c r="G13" s="7">
        <v>46180</v>
      </c>
    </row>
    <row r="14" spans="1:734" ht="24" customHeight="1" x14ac:dyDescent="0.2">
      <c r="A14" s="3">
        <v>8</v>
      </c>
      <c r="B14" s="4" t="s">
        <v>13</v>
      </c>
      <c r="C14" s="3" t="s">
        <v>12</v>
      </c>
      <c r="D14" s="8" t="s">
        <v>15</v>
      </c>
      <c r="E14" s="4">
        <v>950</v>
      </c>
      <c r="F14" s="4" t="s">
        <v>37</v>
      </c>
      <c r="G14" s="7">
        <v>46181</v>
      </c>
    </row>
    <row r="15" spans="1:734" ht="24" customHeight="1" x14ac:dyDescent="0.2">
      <c r="A15" s="3">
        <v>9</v>
      </c>
      <c r="B15" s="4" t="s">
        <v>3</v>
      </c>
      <c r="C15" s="3" t="s">
        <v>12</v>
      </c>
      <c r="D15" s="9" t="s">
        <v>16</v>
      </c>
      <c r="E15" s="4">
        <v>90</v>
      </c>
      <c r="F15" s="4" t="s">
        <v>37</v>
      </c>
      <c r="G15" s="7">
        <v>46182</v>
      </c>
    </row>
    <row r="16" spans="1:734" ht="24" customHeight="1" x14ac:dyDescent="0.2">
      <c r="A16" s="3">
        <v>10</v>
      </c>
      <c r="B16" s="4" t="s">
        <v>23</v>
      </c>
      <c r="C16" s="3" t="s">
        <v>24</v>
      </c>
      <c r="D16" s="9" t="s">
        <v>16</v>
      </c>
      <c r="E16" s="4">
        <v>500</v>
      </c>
      <c r="F16" s="4" t="s">
        <v>37</v>
      </c>
      <c r="G16" s="7">
        <v>46183</v>
      </c>
    </row>
    <row r="17" spans="1:7" ht="24" customHeight="1" x14ac:dyDescent="0.2">
      <c r="A17" s="3">
        <v>11</v>
      </c>
      <c r="B17" s="4" t="s">
        <v>23</v>
      </c>
      <c r="C17" s="3" t="s">
        <v>27</v>
      </c>
      <c r="D17" s="8" t="s">
        <v>15</v>
      </c>
      <c r="E17" s="4">
        <v>56</v>
      </c>
      <c r="F17" s="4" t="s">
        <v>37</v>
      </c>
      <c r="G17" s="7">
        <v>46184</v>
      </c>
    </row>
    <row r="18" spans="1:7" ht="24" customHeight="1" x14ac:dyDescent="0.2">
      <c r="A18" s="3">
        <v>12</v>
      </c>
      <c r="B18" s="4" t="s">
        <v>26</v>
      </c>
      <c r="C18" s="3" t="s">
        <v>2</v>
      </c>
      <c r="D18" s="8" t="s">
        <v>15</v>
      </c>
      <c r="E18" s="4">
        <v>500</v>
      </c>
      <c r="F18" s="4" t="s">
        <v>37</v>
      </c>
      <c r="G18" s="7">
        <v>46185</v>
      </c>
    </row>
    <row r="19" spans="1:7" ht="24" customHeight="1" x14ac:dyDescent="0.2">
      <c r="A19" s="3">
        <v>13</v>
      </c>
      <c r="B19" s="4" t="s">
        <v>26</v>
      </c>
      <c r="C19" s="3" t="s">
        <v>1</v>
      </c>
      <c r="D19" s="9" t="s">
        <v>16</v>
      </c>
      <c r="E19" s="4">
        <v>150</v>
      </c>
      <c r="F19" s="4" t="s">
        <v>37</v>
      </c>
      <c r="G19" s="7">
        <v>46186</v>
      </c>
    </row>
    <row r="20" spans="1:7" ht="24" customHeight="1" x14ac:dyDescent="0.2">
      <c r="A20" s="3">
        <v>14</v>
      </c>
      <c r="B20" s="4" t="s">
        <v>26</v>
      </c>
      <c r="C20" s="3" t="s">
        <v>25</v>
      </c>
      <c r="D20" s="9" t="s">
        <v>16</v>
      </c>
      <c r="E20" s="4">
        <v>150</v>
      </c>
      <c r="F20" s="4" t="s">
        <v>37</v>
      </c>
      <c r="G20" s="7">
        <v>46187</v>
      </c>
    </row>
    <row r="21" spans="1:7" ht="24" customHeight="1" x14ac:dyDescent="0.2">
      <c r="A21" s="3">
        <v>15</v>
      </c>
      <c r="B21" s="4" t="s">
        <v>28</v>
      </c>
      <c r="C21" s="3" t="s">
        <v>6</v>
      </c>
      <c r="D21" s="8" t="s">
        <v>15</v>
      </c>
      <c r="E21" s="4">
        <v>99</v>
      </c>
      <c r="F21" s="4" t="s">
        <v>37</v>
      </c>
      <c r="G21" s="7">
        <v>46188</v>
      </c>
    </row>
    <row r="22" spans="1:7" ht="24" customHeight="1" x14ac:dyDescent="0.2">
      <c r="A22" s="3">
        <v>16</v>
      </c>
      <c r="B22" s="4" t="s">
        <v>28</v>
      </c>
      <c r="C22" s="3" t="s">
        <v>29</v>
      </c>
      <c r="D22" s="10" t="s">
        <v>17</v>
      </c>
      <c r="E22" s="4">
        <v>45</v>
      </c>
      <c r="F22" s="4" t="s">
        <v>37</v>
      </c>
      <c r="G22" s="7">
        <v>46189</v>
      </c>
    </row>
    <row r="23" spans="1:7" ht="24" customHeight="1" x14ac:dyDescent="0.2">
      <c r="A23" s="3">
        <v>17</v>
      </c>
      <c r="B23" s="4" t="s">
        <v>28</v>
      </c>
      <c r="C23" s="3" t="s">
        <v>30</v>
      </c>
      <c r="D23" s="10" t="s">
        <v>17</v>
      </c>
      <c r="E23" s="4">
        <v>500</v>
      </c>
      <c r="F23" s="4" t="s">
        <v>37</v>
      </c>
      <c r="G23" s="7">
        <v>46190</v>
      </c>
    </row>
    <row r="24" spans="1:7" ht="24" customHeight="1" x14ac:dyDescent="0.2">
      <c r="A24" s="3">
        <v>18</v>
      </c>
      <c r="B24" s="4" t="s">
        <v>32</v>
      </c>
      <c r="C24" s="3" t="s">
        <v>33</v>
      </c>
      <c r="D24" s="10" t="s">
        <v>17</v>
      </c>
      <c r="E24" s="4">
        <v>99</v>
      </c>
      <c r="F24" s="4" t="s">
        <v>37</v>
      </c>
      <c r="G24" s="7">
        <v>46191</v>
      </c>
    </row>
    <row r="25" spans="1:7" ht="24" customHeight="1" x14ac:dyDescent="0.2">
      <c r="A25" s="3">
        <v>19</v>
      </c>
      <c r="B25" s="4" t="s">
        <v>32</v>
      </c>
      <c r="C25" s="3" t="s">
        <v>34</v>
      </c>
      <c r="D25" s="11" t="s">
        <v>15</v>
      </c>
      <c r="E25" s="4">
        <v>350</v>
      </c>
      <c r="F25" s="4" t="s">
        <v>37</v>
      </c>
      <c r="G25" s="7">
        <v>46192</v>
      </c>
    </row>
    <row r="26" spans="1:7" ht="39.75" customHeight="1" x14ac:dyDescent="0.2">
      <c r="A26" s="13" t="s">
        <v>35</v>
      </c>
      <c r="B26" s="5"/>
      <c r="C26" s="5"/>
      <c r="E26" s="6">
        <f>SUBTOTAL(109,Tabela15[Valor])</f>
        <v>8259</v>
      </c>
      <c r="F26" s="6"/>
      <c r="G26" s="12"/>
    </row>
  </sheetData>
  <mergeCells count="1">
    <mergeCell ref="B2:B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7D01-0886-4A1C-B963-7729B59FA610}">
  <dimension ref="A1:G26"/>
  <sheetViews>
    <sheetView showGridLines="0" workbookViewId="0">
      <selection activeCell="A6" sqref="A6:XFD6"/>
    </sheetView>
  </sheetViews>
  <sheetFormatPr defaultRowHeight="12.75" x14ac:dyDescent="0.2"/>
  <cols>
    <col min="1" max="1" width="18.75" customWidth="1"/>
    <col min="2" max="4" width="28.625" customWidth="1"/>
    <col min="5" max="6" width="14.875" customWidth="1"/>
    <col min="7" max="7" width="29.375" customWidth="1"/>
  </cols>
  <sheetData>
    <row r="1" spans="1:7" ht="18" customHeight="1" x14ac:dyDescent="0.2">
      <c r="A1" s="1"/>
      <c r="B1" s="1"/>
      <c r="C1" s="21" t="s">
        <v>47</v>
      </c>
      <c r="D1" s="22">
        <v>3400</v>
      </c>
      <c r="E1" s="1"/>
      <c r="F1" s="1"/>
      <c r="G1" s="1"/>
    </row>
    <row r="2" spans="1:7" ht="21.75" customHeight="1" x14ac:dyDescent="0.2">
      <c r="A2" s="1"/>
      <c r="B2" s="20" t="s">
        <v>40</v>
      </c>
      <c r="C2" s="11" t="s">
        <v>15</v>
      </c>
      <c r="D2" s="17">
        <f>SUMIFS(Tabela152[Valor], Tabela152[Status], "Pago")</f>
        <v>6205</v>
      </c>
      <c r="E2" s="1"/>
      <c r="F2" s="14"/>
      <c r="G2" s="14"/>
    </row>
    <row r="3" spans="1:7" ht="21.75" customHeight="1" x14ac:dyDescent="0.2">
      <c r="A3" s="1"/>
      <c r="B3" s="20"/>
      <c r="C3" s="21" t="s">
        <v>17</v>
      </c>
      <c r="D3" s="23">
        <f>SUMIFS(Tabela152[Valor], Tabela152[Status], "Parcelado")</f>
        <v>1014</v>
      </c>
      <c r="E3" s="1"/>
      <c r="F3" s="16"/>
      <c r="G3" s="19"/>
    </row>
    <row r="4" spans="1:7" ht="21.75" customHeight="1" x14ac:dyDescent="0.2">
      <c r="A4" s="1"/>
      <c r="B4" s="20"/>
      <c r="C4" s="15" t="s">
        <v>16</v>
      </c>
      <c r="D4" s="18">
        <f>SUMIFS(Tabela152[Valor], Tabela152[Status], "Débito")</f>
        <v>1140</v>
      </c>
      <c r="E4" s="1"/>
      <c r="F4" s="14"/>
      <c r="G4" s="1"/>
    </row>
    <row r="5" spans="1:7" ht="21.75" customHeight="1" x14ac:dyDescent="0.2">
      <c r="A5" s="1"/>
      <c r="B5" s="20"/>
      <c r="C5" s="21" t="s">
        <v>38</v>
      </c>
      <c r="D5" s="22">
        <f>D1-SUM(D2:D4)</f>
        <v>-4959</v>
      </c>
      <c r="E5" s="1"/>
      <c r="F5" s="16"/>
      <c r="G5" s="1"/>
    </row>
    <row r="6" spans="1:7" s="25" customFormat="1" ht="31.5" customHeight="1" x14ac:dyDescent="0.2">
      <c r="A6" s="24" t="s">
        <v>22</v>
      </c>
      <c r="B6" s="24" t="s">
        <v>7</v>
      </c>
      <c r="C6" s="24" t="s">
        <v>8</v>
      </c>
      <c r="D6" s="24" t="s">
        <v>11</v>
      </c>
      <c r="E6" s="24" t="s">
        <v>10</v>
      </c>
      <c r="F6" s="24" t="s">
        <v>36</v>
      </c>
      <c r="G6" s="24" t="s">
        <v>9</v>
      </c>
    </row>
    <row r="7" spans="1:7" ht="15.75" x14ac:dyDescent="0.2">
      <c r="A7" s="3">
        <v>1</v>
      </c>
      <c r="B7" s="4" t="s">
        <v>13</v>
      </c>
      <c r="C7" s="3" t="s">
        <v>14</v>
      </c>
      <c r="D7" s="8" t="s">
        <v>15</v>
      </c>
      <c r="E7" s="4">
        <v>1900</v>
      </c>
      <c r="F7" s="4" t="s">
        <v>37</v>
      </c>
      <c r="G7" s="7">
        <v>46204</v>
      </c>
    </row>
    <row r="8" spans="1:7" ht="15.75" x14ac:dyDescent="0.2">
      <c r="A8" s="3">
        <v>2</v>
      </c>
      <c r="B8" s="4" t="s">
        <v>13</v>
      </c>
      <c r="C8" s="3" t="s">
        <v>18</v>
      </c>
      <c r="D8" s="8" t="s">
        <v>15</v>
      </c>
      <c r="E8" s="4">
        <v>250</v>
      </c>
      <c r="F8" s="4" t="s">
        <v>37</v>
      </c>
      <c r="G8" s="7">
        <v>46205</v>
      </c>
    </row>
    <row r="9" spans="1:7" ht="15.75" x14ac:dyDescent="0.2">
      <c r="A9" s="3">
        <v>3</v>
      </c>
      <c r="B9" s="4" t="s">
        <v>13</v>
      </c>
      <c r="C9" s="3" t="s">
        <v>19</v>
      </c>
      <c r="D9" s="8" t="s">
        <v>15</v>
      </c>
      <c r="E9" s="4">
        <v>500</v>
      </c>
      <c r="F9" s="4" t="s">
        <v>37</v>
      </c>
      <c r="G9" s="7">
        <v>46206</v>
      </c>
    </row>
    <row r="10" spans="1:7" ht="15.75" x14ac:dyDescent="0.2">
      <c r="A10" s="3">
        <v>4</v>
      </c>
      <c r="B10" s="4" t="s">
        <v>13</v>
      </c>
      <c r="C10" s="3" t="s">
        <v>20</v>
      </c>
      <c r="D10" s="9" t="s">
        <v>16</v>
      </c>
      <c r="E10" s="4">
        <v>250</v>
      </c>
      <c r="F10" s="4" t="s">
        <v>37</v>
      </c>
      <c r="G10" s="7">
        <v>46207</v>
      </c>
    </row>
    <row r="11" spans="1:7" ht="15.75" x14ac:dyDescent="0.2">
      <c r="A11" s="3">
        <v>5</v>
      </c>
      <c r="B11" s="4" t="s">
        <v>13</v>
      </c>
      <c r="C11" s="3" t="s">
        <v>0</v>
      </c>
      <c r="D11" s="10" t="s">
        <v>17</v>
      </c>
      <c r="E11" s="4">
        <v>120</v>
      </c>
      <c r="F11" s="4" t="s">
        <v>37</v>
      </c>
      <c r="G11" s="7">
        <v>46208</v>
      </c>
    </row>
    <row r="12" spans="1:7" ht="15.75" x14ac:dyDescent="0.2">
      <c r="A12" s="3">
        <v>6</v>
      </c>
      <c r="B12" s="4" t="s">
        <v>5</v>
      </c>
      <c r="C12" s="3" t="s">
        <v>4</v>
      </c>
      <c r="D12" s="8" t="s">
        <v>15</v>
      </c>
      <c r="E12" s="4">
        <v>1600</v>
      </c>
      <c r="F12" s="4" t="s">
        <v>37</v>
      </c>
      <c r="G12" s="7">
        <v>46209</v>
      </c>
    </row>
    <row r="13" spans="1:7" ht="15.75" x14ac:dyDescent="0.2">
      <c r="A13" s="3">
        <v>7</v>
      </c>
      <c r="B13" s="4" t="s">
        <v>5</v>
      </c>
      <c r="C13" s="3" t="s">
        <v>21</v>
      </c>
      <c r="D13" s="10" t="s">
        <v>17</v>
      </c>
      <c r="E13" s="4">
        <v>250</v>
      </c>
      <c r="F13" s="4" t="s">
        <v>37</v>
      </c>
      <c r="G13" s="7">
        <v>46210</v>
      </c>
    </row>
    <row r="14" spans="1:7" ht="15.75" x14ac:dyDescent="0.2">
      <c r="A14" s="3">
        <v>8</v>
      </c>
      <c r="B14" s="4" t="s">
        <v>13</v>
      </c>
      <c r="C14" s="3" t="s">
        <v>12</v>
      </c>
      <c r="D14" s="8" t="s">
        <v>15</v>
      </c>
      <c r="E14" s="4">
        <v>950</v>
      </c>
      <c r="F14" s="4" t="s">
        <v>37</v>
      </c>
      <c r="G14" s="7">
        <v>46211</v>
      </c>
    </row>
    <row r="15" spans="1:7" ht="15.75" x14ac:dyDescent="0.2">
      <c r="A15" s="3">
        <v>9</v>
      </c>
      <c r="B15" s="4" t="s">
        <v>3</v>
      </c>
      <c r="C15" s="3" t="s">
        <v>12</v>
      </c>
      <c r="D15" s="9" t="s">
        <v>16</v>
      </c>
      <c r="E15" s="4">
        <v>90</v>
      </c>
      <c r="F15" s="4" t="s">
        <v>37</v>
      </c>
      <c r="G15" s="7">
        <v>46212</v>
      </c>
    </row>
    <row r="16" spans="1:7" ht="15.75" x14ac:dyDescent="0.2">
      <c r="A16" s="3">
        <v>10</v>
      </c>
      <c r="B16" s="4" t="s">
        <v>23</v>
      </c>
      <c r="C16" s="3" t="s">
        <v>24</v>
      </c>
      <c r="D16" s="9" t="s">
        <v>16</v>
      </c>
      <c r="E16" s="4">
        <v>500</v>
      </c>
      <c r="F16" s="4" t="s">
        <v>37</v>
      </c>
      <c r="G16" s="7">
        <v>46213</v>
      </c>
    </row>
    <row r="17" spans="1:7" ht="15.75" x14ac:dyDescent="0.2">
      <c r="A17" s="3">
        <v>11</v>
      </c>
      <c r="B17" s="4" t="s">
        <v>23</v>
      </c>
      <c r="C17" s="3" t="s">
        <v>27</v>
      </c>
      <c r="D17" s="8" t="s">
        <v>15</v>
      </c>
      <c r="E17" s="4">
        <v>56</v>
      </c>
      <c r="F17" s="4" t="s">
        <v>37</v>
      </c>
      <c r="G17" s="7">
        <v>46214</v>
      </c>
    </row>
    <row r="18" spans="1:7" ht="15.75" x14ac:dyDescent="0.2">
      <c r="A18" s="3">
        <v>12</v>
      </c>
      <c r="B18" s="4" t="s">
        <v>26</v>
      </c>
      <c r="C18" s="3" t="s">
        <v>2</v>
      </c>
      <c r="D18" s="8" t="s">
        <v>15</v>
      </c>
      <c r="E18" s="4">
        <v>500</v>
      </c>
      <c r="F18" s="4" t="s">
        <v>37</v>
      </c>
      <c r="G18" s="7">
        <v>46215</v>
      </c>
    </row>
    <row r="19" spans="1:7" ht="15.75" x14ac:dyDescent="0.2">
      <c r="A19" s="3">
        <v>13</v>
      </c>
      <c r="B19" s="4" t="s">
        <v>26</v>
      </c>
      <c r="C19" s="3" t="s">
        <v>1</v>
      </c>
      <c r="D19" s="9" t="s">
        <v>16</v>
      </c>
      <c r="E19" s="4">
        <v>150</v>
      </c>
      <c r="F19" s="4" t="s">
        <v>37</v>
      </c>
      <c r="G19" s="7">
        <v>46216</v>
      </c>
    </row>
    <row r="20" spans="1:7" ht="15.75" x14ac:dyDescent="0.2">
      <c r="A20" s="3">
        <v>14</v>
      </c>
      <c r="B20" s="4" t="s">
        <v>26</v>
      </c>
      <c r="C20" s="3" t="s">
        <v>25</v>
      </c>
      <c r="D20" s="9" t="s">
        <v>16</v>
      </c>
      <c r="E20" s="4">
        <v>150</v>
      </c>
      <c r="F20" s="4" t="s">
        <v>37</v>
      </c>
      <c r="G20" s="7">
        <v>46217</v>
      </c>
    </row>
    <row r="21" spans="1:7" ht="15.75" x14ac:dyDescent="0.2">
      <c r="A21" s="3">
        <v>15</v>
      </c>
      <c r="B21" s="4" t="s">
        <v>28</v>
      </c>
      <c r="C21" s="3" t="s">
        <v>6</v>
      </c>
      <c r="D21" s="8" t="s">
        <v>15</v>
      </c>
      <c r="E21" s="4">
        <v>99</v>
      </c>
      <c r="F21" s="4" t="s">
        <v>37</v>
      </c>
      <c r="G21" s="7">
        <v>46218</v>
      </c>
    </row>
    <row r="22" spans="1:7" ht="15.75" x14ac:dyDescent="0.2">
      <c r="A22" s="3">
        <v>16</v>
      </c>
      <c r="B22" s="4" t="s">
        <v>28</v>
      </c>
      <c r="C22" s="3" t="s">
        <v>29</v>
      </c>
      <c r="D22" s="10" t="s">
        <v>17</v>
      </c>
      <c r="E22" s="4">
        <v>45</v>
      </c>
      <c r="F22" s="4" t="s">
        <v>37</v>
      </c>
      <c r="G22" s="7">
        <v>46219</v>
      </c>
    </row>
    <row r="23" spans="1:7" ht="15.75" x14ac:dyDescent="0.2">
      <c r="A23" s="3">
        <v>17</v>
      </c>
      <c r="B23" s="4" t="s">
        <v>28</v>
      </c>
      <c r="C23" s="3" t="s">
        <v>30</v>
      </c>
      <c r="D23" s="10" t="s">
        <v>17</v>
      </c>
      <c r="E23" s="4">
        <v>500</v>
      </c>
      <c r="F23" s="4" t="s">
        <v>37</v>
      </c>
      <c r="G23" s="7">
        <v>46220</v>
      </c>
    </row>
    <row r="24" spans="1:7" ht="15.75" x14ac:dyDescent="0.2">
      <c r="A24" s="3">
        <v>18</v>
      </c>
      <c r="B24" s="4" t="s">
        <v>32</v>
      </c>
      <c r="C24" s="3" t="s">
        <v>33</v>
      </c>
      <c r="D24" s="10" t="s">
        <v>17</v>
      </c>
      <c r="E24" s="4">
        <v>99</v>
      </c>
      <c r="F24" s="4" t="s">
        <v>37</v>
      </c>
      <c r="G24" s="7">
        <v>46221</v>
      </c>
    </row>
    <row r="25" spans="1:7" ht="15.75" x14ac:dyDescent="0.2">
      <c r="A25" s="3">
        <v>19</v>
      </c>
      <c r="B25" s="4" t="s">
        <v>32</v>
      </c>
      <c r="C25" s="3" t="s">
        <v>34</v>
      </c>
      <c r="D25" s="11" t="s">
        <v>15</v>
      </c>
      <c r="E25" s="4">
        <v>350</v>
      </c>
      <c r="F25" s="4" t="s">
        <v>37</v>
      </c>
      <c r="G25" s="7">
        <v>46222</v>
      </c>
    </row>
    <row r="26" spans="1:7" ht="15.75" x14ac:dyDescent="0.2">
      <c r="A26" s="13" t="s">
        <v>35</v>
      </c>
      <c r="B26" s="5"/>
      <c r="C26" s="5"/>
      <c r="E26" s="6">
        <f>SUBTOTAL(109,Tabela152[Valor])</f>
        <v>8359</v>
      </c>
      <c r="F26" s="6"/>
      <c r="G26" s="12"/>
    </row>
  </sheetData>
  <mergeCells count="1">
    <mergeCell ref="B2:B5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954F-4123-4031-BEEE-EA23C7987461}">
  <dimension ref="A1:G26"/>
  <sheetViews>
    <sheetView showGridLines="0" topLeftCell="A7" workbookViewId="0">
      <selection activeCell="A6" sqref="A6:XFD6"/>
    </sheetView>
  </sheetViews>
  <sheetFormatPr defaultRowHeight="12.75" x14ac:dyDescent="0.2"/>
  <cols>
    <col min="1" max="1" width="18.75" customWidth="1"/>
    <col min="2" max="4" width="28.625" customWidth="1"/>
    <col min="5" max="6" width="14.875" customWidth="1"/>
    <col min="7" max="7" width="34.5" customWidth="1"/>
  </cols>
  <sheetData>
    <row r="1" spans="1:7" ht="22.5" customHeight="1" x14ac:dyDescent="0.2">
      <c r="A1" s="1"/>
      <c r="B1" s="1"/>
      <c r="C1" s="21" t="s">
        <v>47</v>
      </c>
      <c r="D1" s="22">
        <v>3400</v>
      </c>
      <c r="E1" s="1"/>
      <c r="F1" s="1"/>
      <c r="G1" s="1"/>
    </row>
    <row r="2" spans="1:7" ht="22.5" customHeight="1" x14ac:dyDescent="0.2">
      <c r="A2" s="1"/>
      <c r="B2" s="20" t="s">
        <v>41</v>
      </c>
      <c r="C2" s="11" t="s">
        <v>15</v>
      </c>
      <c r="D2" s="17">
        <f>SUMIFS(Tabela1523[Valor], Tabela1523[Status], "Pago")</f>
        <v>6205</v>
      </c>
      <c r="E2" s="1"/>
      <c r="F2" s="14"/>
      <c r="G2" s="14"/>
    </row>
    <row r="3" spans="1:7" ht="22.5" customHeight="1" x14ac:dyDescent="0.2">
      <c r="A3" s="1"/>
      <c r="B3" s="20"/>
      <c r="C3" s="21" t="s">
        <v>17</v>
      </c>
      <c r="D3" s="23">
        <f>SUMIFS(Tabela1523[Valor], Tabela1523[Status], "Parcelado")</f>
        <v>1014</v>
      </c>
      <c r="E3" s="1"/>
      <c r="F3" s="16"/>
      <c r="G3" s="19"/>
    </row>
    <row r="4" spans="1:7" ht="22.5" customHeight="1" x14ac:dyDescent="0.2">
      <c r="A4" s="1"/>
      <c r="B4" s="20"/>
      <c r="C4" s="15" t="s">
        <v>16</v>
      </c>
      <c r="D4" s="18">
        <f>SUMIFS(Tabela1523[Valor], Tabela1523[Status], "Débito")</f>
        <v>1140</v>
      </c>
      <c r="E4" s="1"/>
      <c r="F4" s="14"/>
      <c r="G4" s="1"/>
    </row>
    <row r="5" spans="1:7" ht="22.5" customHeight="1" x14ac:dyDescent="0.2">
      <c r="A5" s="1"/>
      <c r="B5" s="20"/>
      <c r="C5" s="21" t="s">
        <v>38</v>
      </c>
      <c r="D5" s="22">
        <f>D1-SUM(D2:D4)</f>
        <v>-4959</v>
      </c>
      <c r="E5" s="1"/>
      <c r="F5" s="16"/>
      <c r="G5" s="1"/>
    </row>
    <row r="6" spans="1:7" s="25" customFormat="1" ht="33" customHeight="1" x14ac:dyDescent="0.2">
      <c r="A6" s="24" t="s">
        <v>22</v>
      </c>
      <c r="B6" s="24" t="s">
        <v>7</v>
      </c>
      <c r="C6" s="24" t="s">
        <v>8</v>
      </c>
      <c r="D6" s="24" t="s">
        <v>11</v>
      </c>
      <c r="E6" s="24" t="s">
        <v>10</v>
      </c>
      <c r="F6" s="24" t="s">
        <v>36</v>
      </c>
      <c r="G6" s="24" t="s">
        <v>9</v>
      </c>
    </row>
    <row r="7" spans="1:7" ht="15.75" x14ac:dyDescent="0.2">
      <c r="A7" s="3">
        <v>1</v>
      </c>
      <c r="B7" s="4" t="s">
        <v>13</v>
      </c>
      <c r="C7" s="3" t="s">
        <v>14</v>
      </c>
      <c r="D7" s="8" t="s">
        <v>15</v>
      </c>
      <c r="E7" s="4">
        <v>1900</v>
      </c>
      <c r="F7" s="4" t="s">
        <v>37</v>
      </c>
      <c r="G7" s="7">
        <v>46235</v>
      </c>
    </row>
    <row r="8" spans="1:7" ht="15.75" x14ac:dyDescent="0.2">
      <c r="A8" s="3">
        <v>2</v>
      </c>
      <c r="B8" s="4" t="s">
        <v>13</v>
      </c>
      <c r="C8" s="3" t="s">
        <v>18</v>
      </c>
      <c r="D8" s="8" t="s">
        <v>15</v>
      </c>
      <c r="E8" s="4">
        <v>250</v>
      </c>
      <c r="F8" s="4" t="s">
        <v>37</v>
      </c>
      <c r="G8" s="7">
        <v>46236</v>
      </c>
    </row>
    <row r="9" spans="1:7" ht="15.75" x14ac:dyDescent="0.2">
      <c r="A9" s="3">
        <v>3</v>
      </c>
      <c r="B9" s="4" t="s">
        <v>13</v>
      </c>
      <c r="C9" s="3" t="s">
        <v>19</v>
      </c>
      <c r="D9" s="8" t="s">
        <v>15</v>
      </c>
      <c r="E9" s="4">
        <v>500</v>
      </c>
      <c r="F9" s="4" t="s">
        <v>37</v>
      </c>
      <c r="G9" s="7">
        <v>46237</v>
      </c>
    </row>
    <row r="10" spans="1:7" ht="15.75" x14ac:dyDescent="0.2">
      <c r="A10" s="3">
        <v>4</v>
      </c>
      <c r="B10" s="4" t="s">
        <v>13</v>
      </c>
      <c r="C10" s="3" t="s">
        <v>20</v>
      </c>
      <c r="D10" s="9" t="s">
        <v>16</v>
      </c>
      <c r="E10" s="4">
        <v>250</v>
      </c>
      <c r="F10" s="4" t="s">
        <v>37</v>
      </c>
      <c r="G10" s="7">
        <v>46238</v>
      </c>
    </row>
    <row r="11" spans="1:7" ht="15.75" x14ac:dyDescent="0.2">
      <c r="A11" s="3">
        <v>5</v>
      </c>
      <c r="B11" s="4" t="s">
        <v>13</v>
      </c>
      <c r="C11" s="3" t="s">
        <v>0</v>
      </c>
      <c r="D11" s="10" t="s">
        <v>17</v>
      </c>
      <c r="E11" s="4">
        <v>120</v>
      </c>
      <c r="F11" s="4" t="s">
        <v>37</v>
      </c>
      <c r="G11" s="7">
        <v>46239</v>
      </c>
    </row>
    <row r="12" spans="1:7" ht="15.75" x14ac:dyDescent="0.2">
      <c r="A12" s="3">
        <v>6</v>
      </c>
      <c r="B12" s="4" t="s">
        <v>5</v>
      </c>
      <c r="C12" s="3" t="s">
        <v>4</v>
      </c>
      <c r="D12" s="8" t="s">
        <v>15</v>
      </c>
      <c r="E12" s="4">
        <v>1600</v>
      </c>
      <c r="F12" s="4" t="s">
        <v>37</v>
      </c>
      <c r="G12" s="7">
        <v>46240</v>
      </c>
    </row>
    <row r="13" spans="1:7" ht="15.75" x14ac:dyDescent="0.2">
      <c r="A13" s="3">
        <v>7</v>
      </c>
      <c r="B13" s="4" t="s">
        <v>5</v>
      </c>
      <c r="C13" s="3" t="s">
        <v>21</v>
      </c>
      <c r="D13" s="10" t="s">
        <v>17</v>
      </c>
      <c r="E13" s="4">
        <v>250</v>
      </c>
      <c r="F13" s="4" t="s">
        <v>37</v>
      </c>
      <c r="G13" s="7">
        <v>46241</v>
      </c>
    </row>
    <row r="14" spans="1:7" ht="15.75" x14ac:dyDescent="0.2">
      <c r="A14" s="3">
        <v>8</v>
      </c>
      <c r="B14" s="4" t="s">
        <v>13</v>
      </c>
      <c r="C14" s="3" t="s">
        <v>12</v>
      </c>
      <c r="D14" s="8" t="s">
        <v>15</v>
      </c>
      <c r="E14" s="4">
        <v>950</v>
      </c>
      <c r="F14" s="4" t="s">
        <v>37</v>
      </c>
      <c r="G14" s="7">
        <v>46242</v>
      </c>
    </row>
    <row r="15" spans="1:7" ht="15.75" x14ac:dyDescent="0.2">
      <c r="A15" s="3">
        <v>9</v>
      </c>
      <c r="B15" s="4" t="s">
        <v>3</v>
      </c>
      <c r="C15" s="3" t="s">
        <v>12</v>
      </c>
      <c r="D15" s="9" t="s">
        <v>16</v>
      </c>
      <c r="E15" s="4">
        <v>90</v>
      </c>
      <c r="F15" s="4" t="s">
        <v>37</v>
      </c>
      <c r="G15" s="7">
        <v>46243</v>
      </c>
    </row>
    <row r="16" spans="1:7" ht="15.75" x14ac:dyDescent="0.2">
      <c r="A16" s="3">
        <v>10</v>
      </c>
      <c r="B16" s="4" t="s">
        <v>23</v>
      </c>
      <c r="C16" s="3" t="s">
        <v>24</v>
      </c>
      <c r="D16" s="9" t="s">
        <v>16</v>
      </c>
      <c r="E16" s="4">
        <v>500</v>
      </c>
      <c r="F16" s="4" t="s">
        <v>37</v>
      </c>
      <c r="G16" s="7">
        <v>46244</v>
      </c>
    </row>
    <row r="17" spans="1:7" ht="15.75" x14ac:dyDescent="0.2">
      <c r="A17" s="3">
        <v>11</v>
      </c>
      <c r="B17" s="4" t="s">
        <v>23</v>
      </c>
      <c r="C17" s="3" t="s">
        <v>27</v>
      </c>
      <c r="D17" s="8" t="s">
        <v>15</v>
      </c>
      <c r="E17" s="4">
        <v>56</v>
      </c>
      <c r="F17" s="4" t="s">
        <v>37</v>
      </c>
      <c r="G17" s="7">
        <v>46245</v>
      </c>
    </row>
    <row r="18" spans="1:7" ht="15.75" x14ac:dyDescent="0.2">
      <c r="A18" s="3">
        <v>12</v>
      </c>
      <c r="B18" s="4" t="s">
        <v>26</v>
      </c>
      <c r="C18" s="3" t="s">
        <v>2</v>
      </c>
      <c r="D18" s="8" t="s">
        <v>15</v>
      </c>
      <c r="E18" s="4">
        <v>500</v>
      </c>
      <c r="F18" s="4" t="s">
        <v>37</v>
      </c>
      <c r="G18" s="7">
        <v>46246</v>
      </c>
    </row>
    <row r="19" spans="1:7" ht="15.75" x14ac:dyDescent="0.2">
      <c r="A19" s="3">
        <v>13</v>
      </c>
      <c r="B19" s="4" t="s">
        <v>26</v>
      </c>
      <c r="C19" s="3" t="s">
        <v>1</v>
      </c>
      <c r="D19" s="9" t="s">
        <v>16</v>
      </c>
      <c r="E19" s="4">
        <v>150</v>
      </c>
      <c r="F19" s="4" t="s">
        <v>37</v>
      </c>
      <c r="G19" s="7">
        <v>46247</v>
      </c>
    </row>
    <row r="20" spans="1:7" ht="15.75" x14ac:dyDescent="0.2">
      <c r="A20" s="3">
        <v>14</v>
      </c>
      <c r="B20" s="4" t="s">
        <v>26</v>
      </c>
      <c r="C20" s="3" t="s">
        <v>25</v>
      </c>
      <c r="D20" s="9" t="s">
        <v>16</v>
      </c>
      <c r="E20" s="4">
        <v>150</v>
      </c>
      <c r="F20" s="4" t="s">
        <v>37</v>
      </c>
      <c r="G20" s="7">
        <v>46248</v>
      </c>
    </row>
    <row r="21" spans="1:7" ht="15.75" x14ac:dyDescent="0.2">
      <c r="A21" s="3">
        <v>15</v>
      </c>
      <c r="B21" s="4" t="s">
        <v>28</v>
      </c>
      <c r="C21" s="3" t="s">
        <v>6</v>
      </c>
      <c r="D21" s="8" t="s">
        <v>15</v>
      </c>
      <c r="E21" s="4">
        <v>99</v>
      </c>
      <c r="F21" s="4" t="s">
        <v>37</v>
      </c>
      <c r="G21" s="7">
        <v>46249</v>
      </c>
    </row>
    <row r="22" spans="1:7" ht="15.75" x14ac:dyDescent="0.2">
      <c r="A22" s="3">
        <v>16</v>
      </c>
      <c r="B22" s="4" t="s">
        <v>28</v>
      </c>
      <c r="C22" s="3" t="s">
        <v>29</v>
      </c>
      <c r="D22" s="10" t="s">
        <v>17</v>
      </c>
      <c r="E22" s="4">
        <v>45</v>
      </c>
      <c r="F22" s="4" t="s">
        <v>37</v>
      </c>
      <c r="G22" s="7">
        <v>46250</v>
      </c>
    </row>
    <row r="23" spans="1:7" ht="15.75" x14ac:dyDescent="0.2">
      <c r="A23" s="3">
        <v>17</v>
      </c>
      <c r="B23" s="4" t="s">
        <v>28</v>
      </c>
      <c r="C23" s="3" t="s">
        <v>30</v>
      </c>
      <c r="D23" s="10" t="s">
        <v>17</v>
      </c>
      <c r="E23" s="4">
        <v>500</v>
      </c>
      <c r="F23" s="4" t="s">
        <v>37</v>
      </c>
      <c r="G23" s="7">
        <v>46251</v>
      </c>
    </row>
    <row r="24" spans="1:7" ht="15.75" x14ac:dyDescent="0.2">
      <c r="A24" s="3">
        <v>18</v>
      </c>
      <c r="B24" s="4" t="s">
        <v>32</v>
      </c>
      <c r="C24" s="3" t="s">
        <v>33</v>
      </c>
      <c r="D24" s="10" t="s">
        <v>17</v>
      </c>
      <c r="E24" s="4">
        <v>99</v>
      </c>
      <c r="F24" s="4" t="s">
        <v>37</v>
      </c>
      <c r="G24" s="7">
        <v>46252</v>
      </c>
    </row>
    <row r="25" spans="1:7" ht="15.75" x14ac:dyDescent="0.2">
      <c r="A25" s="3">
        <v>19</v>
      </c>
      <c r="B25" s="4" t="s">
        <v>32</v>
      </c>
      <c r="C25" s="3" t="s">
        <v>34</v>
      </c>
      <c r="D25" s="11" t="s">
        <v>15</v>
      </c>
      <c r="E25" s="4">
        <v>350</v>
      </c>
      <c r="F25" s="4" t="s">
        <v>37</v>
      </c>
      <c r="G25" s="7">
        <v>46253</v>
      </c>
    </row>
    <row r="26" spans="1:7" ht="15.75" x14ac:dyDescent="0.2">
      <c r="A26" s="13" t="s">
        <v>35</v>
      </c>
      <c r="B26" s="5"/>
      <c r="C26" s="5"/>
      <c r="E26" s="6">
        <f>SUBTOTAL(109,Tabela1523[Valor])</f>
        <v>8359</v>
      </c>
      <c r="F26" s="6"/>
      <c r="G26" s="12"/>
    </row>
  </sheetData>
  <mergeCells count="1">
    <mergeCell ref="B2:B5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9E52-A677-4E1A-9D93-2F6F6D9DDB99}">
  <dimension ref="A1:G26"/>
  <sheetViews>
    <sheetView showGridLines="0" workbookViewId="0">
      <selection activeCell="A6" sqref="A6:XFD6"/>
    </sheetView>
  </sheetViews>
  <sheetFormatPr defaultRowHeight="12.75" x14ac:dyDescent="0.2"/>
  <cols>
    <col min="1" max="1" width="18.75" customWidth="1"/>
    <col min="2" max="4" width="28.625" customWidth="1"/>
    <col min="5" max="6" width="14.875" customWidth="1"/>
    <col min="7" max="7" width="33.375" customWidth="1"/>
  </cols>
  <sheetData>
    <row r="1" spans="1:7" ht="22.5" customHeight="1" x14ac:dyDescent="0.2">
      <c r="A1" s="1"/>
      <c r="B1" s="1"/>
      <c r="C1" s="21" t="s">
        <v>47</v>
      </c>
      <c r="D1" s="22">
        <v>3400</v>
      </c>
      <c r="E1" s="1"/>
      <c r="F1" s="1"/>
      <c r="G1" s="1"/>
    </row>
    <row r="2" spans="1:7" ht="15.75" customHeight="1" x14ac:dyDescent="0.2">
      <c r="A2" s="1"/>
      <c r="B2" s="20" t="s">
        <v>42</v>
      </c>
      <c r="C2" s="11" t="s">
        <v>15</v>
      </c>
      <c r="D2" s="17">
        <f>SUMIFS(Tabela1524[Valor], Tabela1524[Status], "Pago")</f>
        <v>6205</v>
      </c>
      <c r="E2" s="1"/>
      <c r="F2" s="14"/>
      <c r="G2" s="14"/>
    </row>
    <row r="3" spans="1:7" ht="19.5" x14ac:dyDescent="0.2">
      <c r="A3" s="1"/>
      <c r="B3" s="20"/>
      <c r="C3" s="21" t="s">
        <v>17</v>
      </c>
      <c r="D3" s="23">
        <f>SUMIFS(Tabela1524[Valor], Tabela1524[Status], "Parcelado")</f>
        <v>1014</v>
      </c>
      <c r="E3" s="1"/>
      <c r="F3" s="16"/>
      <c r="G3" s="19"/>
    </row>
    <row r="4" spans="1:7" ht="15.75" customHeight="1" x14ac:dyDescent="0.2">
      <c r="A4" s="1"/>
      <c r="B4" s="20"/>
      <c r="C4" s="15" t="s">
        <v>16</v>
      </c>
      <c r="D4" s="18">
        <f>SUMIFS(Tabela1524[Valor], Tabela1524[Status], "Débito")</f>
        <v>1140</v>
      </c>
      <c r="E4" s="1"/>
      <c r="F4" s="14"/>
      <c r="G4" s="1"/>
    </row>
    <row r="5" spans="1:7" ht="19.5" x14ac:dyDescent="0.2">
      <c r="A5" s="1"/>
      <c r="B5" s="20"/>
      <c r="C5" s="21" t="s">
        <v>38</v>
      </c>
      <c r="D5" s="22">
        <f>D1-SUM(D2:D4)</f>
        <v>-4959</v>
      </c>
      <c r="E5" s="1"/>
      <c r="F5" s="16"/>
      <c r="G5" s="1"/>
    </row>
    <row r="6" spans="1:7" s="25" customFormat="1" ht="33" customHeight="1" x14ac:dyDescent="0.2">
      <c r="A6" s="24" t="s">
        <v>22</v>
      </c>
      <c r="B6" s="24" t="s">
        <v>7</v>
      </c>
      <c r="C6" s="24" t="s">
        <v>8</v>
      </c>
      <c r="D6" s="24" t="s">
        <v>11</v>
      </c>
      <c r="E6" s="24" t="s">
        <v>10</v>
      </c>
      <c r="F6" s="24" t="s">
        <v>36</v>
      </c>
      <c r="G6" s="24" t="s">
        <v>9</v>
      </c>
    </row>
    <row r="7" spans="1:7" ht="15.75" x14ac:dyDescent="0.2">
      <c r="A7" s="3">
        <v>1</v>
      </c>
      <c r="B7" s="4" t="s">
        <v>13</v>
      </c>
      <c r="C7" s="3" t="s">
        <v>14</v>
      </c>
      <c r="D7" s="8" t="s">
        <v>15</v>
      </c>
      <c r="E7" s="4">
        <v>1900</v>
      </c>
      <c r="F7" s="4" t="s">
        <v>37</v>
      </c>
      <c r="G7" s="7">
        <v>46266</v>
      </c>
    </row>
    <row r="8" spans="1:7" ht="15.75" x14ac:dyDescent="0.2">
      <c r="A8" s="3">
        <v>2</v>
      </c>
      <c r="B8" s="4" t="s">
        <v>13</v>
      </c>
      <c r="C8" s="3" t="s">
        <v>18</v>
      </c>
      <c r="D8" s="8" t="s">
        <v>15</v>
      </c>
      <c r="E8" s="4">
        <v>250</v>
      </c>
      <c r="F8" s="4" t="s">
        <v>37</v>
      </c>
      <c r="G8" s="7">
        <v>46267</v>
      </c>
    </row>
    <row r="9" spans="1:7" ht="15.75" x14ac:dyDescent="0.2">
      <c r="A9" s="3">
        <v>3</v>
      </c>
      <c r="B9" s="4" t="s">
        <v>13</v>
      </c>
      <c r="C9" s="3" t="s">
        <v>19</v>
      </c>
      <c r="D9" s="8" t="s">
        <v>15</v>
      </c>
      <c r="E9" s="4">
        <v>500</v>
      </c>
      <c r="F9" s="4" t="s">
        <v>37</v>
      </c>
      <c r="G9" s="7">
        <v>46268</v>
      </c>
    </row>
    <row r="10" spans="1:7" ht="15.75" x14ac:dyDescent="0.2">
      <c r="A10" s="3">
        <v>4</v>
      </c>
      <c r="B10" s="4" t="s">
        <v>13</v>
      </c>
      <c r="C10" s="3" t="s">
        <v>20</v>
      </c>
      <c r="D10" s="9" t="s">
        <v>16</v>
      </c>
      <c r="E10" s="4">
        <v>250</v>
      </c>
      <c r="F10" s="4" t="s">
        <v>37</v>
      </c>
      <c r="G10" s="7">
        <v>46269</v>
      </c>
    </row>
    <row r="11" spans="1:7" ht="15.75" x14ac:dyDescent="0.2">
      <c r="A11" s="3">
        <v>5</v>
      </c>
      <c r="B11" s="4" t="s">
        <v>13</v>
      </c>
      <c r="C11" s="3" t="s">
        <v>0</v>
      </c>
      <c r="D11" s="10" t="s">
        <v>17</v>
      </c>
      <c r="E11" s="4">
        <v>120</v>
      </c>
      <c r="F11" s="4" t="s">
        <v>37</v>
      </c>
      <c r="G11" s="7">
        <v>46270</v>
      </c>
    </row>
    <row r="12" spans="1:7" ht="15.75" x14ac:dyDescent="0.2">
      <c r="A12" s="3">
        <v>6</v>
      </c>
      <c r="B12" s="4" t="s">
        <v>5</v>
      </c>
      <c r="C12" s="3" t="s">
        <v>4</v>
      </c>
      <c r="D12" s="8" t="s">
        <v>15</v>
      </c>
      <c r="E12" s="4">
        <v>1600</v>
      </c>
      <c r="F12" s="4" t="s">
        <v>37</v>
      </c>
      <c r="G12" s="7">
        <v>46271</v>
      </c>
    </row>
    <row r="13" spans="1:7" ht="15.75" x14ac:dyDescent="0.2">
      <c r="A13" s="3">
        <v>7</v>
      </c>
      <c r="B13" s="4" t="s">
        <v>5</v>
      </c>
      <c r="C13" s="3" t="s">
        <v>21</v>
      </c>
      <c r="D13" s="10" t="s">
        <v>17</v>
      </c>
      <c r="E13" s="4">
        <v>250</v>
      </c>
      <c r="F13" s="4" t="s">
        <v>37</v>
      </c>
      <c r="G13" s="7">
        <v>46272</v>
      </c>
    </row>
    <row r="14" spans="1:7" ht="15.75" x14ac:dyDescent="0.2">
      <c r="A14" s="3">
        <v>8</v>
      </c>
      <c r="B14" s="4" t="s">
        <v>13</v>
      </c>
      <c r="C14" s="3" t="s">
        <v>12</v>
      </c>
      <c r="D14" s="8" t="s">
        <v>15</v>
      </c>
      <c r="E14" s="4">
        <v>950</v>
      </c>
      <c r="F14" s="4" t="s">
        <v>37</v>
      </c>
      <c r="G14" s="7">
        <v>46273</v>
      </c>
    </row>
    <row r="15" spans="1:7" ht="15.75" x14ac:dyDescent="0.2">
      <c r="A15" s="3">
        <v>9</v>
      </c>
      <c r="B15" s="4" t="s">
        <v>3</v>
      </c>
      <c r="C15" s="3" t="s">
        <v>12</v>
      </c>
      <c r="D15" s="9" t="s">
        <v>16</v>
      </c>
      <c r="E15" s="4">
        <v>90</v>
      </c>
      <c r="F15" s="4" t="s">
        <v>37</v>
      </c>
      <c r="G15" s="7">
        <v>46274</v>
      </c>
    </row>
    <row r="16" spans="1:7" ht="15.75" x14ac:dyDescent="0.2">
      <c r="A16" s="3">
        <v>10</v>
      </c>
      <c r="B16" s="4" t="s">
        <v>23</v>
      </c>
      <c r="C16" s="3" t="s">
        <v>24</v>
      </c>
      <c r="D16" s="9" t="s">
        <v>16</v>
      </c>
      <c r="E16" s="4">
        <v>500</v>
      </c>
      <c r="F16" s="4" t="s">
        <v>37</v>
      </c>
      <c r="G16" s="7">
        <v>46275</v>
      </c>
    </row>
    <row r="17" spans="1:7" ht="15.75" x14ac:dyDescent="0.2">
      <c r="A17" s="3">
        <v>11</v>
      </c>
      <c r="B17" s="4" t="s">
        <v>23</v>
      </c>
      <c r="C17" s="3" t="s">
        <v>27</v>
      </c>
      <c r="D17" s="8" t="s">
        <v>15</v>
      </c>
      <c r="E17" s="4">
        <v>56</v>
      </c>
      <c r="F17" s="4" t="s">
        <v>37</v>
      </c>
      <c r="G17" s="7">
        <v>46276</v>
      </c>
    </row>
    <row r="18" spans="1:7" ht="15.75" x14ac:dyDescent="0.2">
      <c r="A18" s="3">
        <v>12</v>
      </c>
      <c r="B18" s="4" t="s">
        <v>26</v>
      </c>
      <c r="C18" s="3" t="s">
        <v>2</v>
      </c>
      <c r="D18" s="8" t="s">
        <v>15</v>
      </c>
      <c r="E18" s="4">
        <v>500</v>
      </c>
      <c r="F18" s="4" t="s">
        <v>37</v>
      </c>
      <c r="G18" s="7">
        <v>46277</v>
      </c>
    </row>
    <row r="19" spans="1:7" ht="15.75" x14ac:dyDescent="0.2">
      <c r="A19" s="3">
        <v>13</v>
      </c>
      <c r="B19" s="4" t="s">
        <v>26</v>
      </c>
      <c r="C19" s="3" t="s">
        <v>1</v>
      </c>
      <c r="D19" s="9" t="s">
        <v>16</v>
      </c>
      <c r="E19" s="4">
        <v>150</v>
      </c>
      <c r="F19" s="4" t="s">
        <v>37</v>
      </c>
      <c r="G19" s="7">
        <v>46278</v>
      </c>
    </row>
    <row r="20" spans="1:7" ht="15.75" x14ac:dyDescent="0.2">
      <c r="A20" s="3">
        <v>14</v>
      </c>
      <c r="B20" s="4" t="s">
        <v>26</v>
      </c>
      <c r="C20" s="3" t="s">
        <v>25</v>
      </c>
      <c r="D20" s="9" t="s">
        <v>16</v>
      </c>
      <c r="E20" s="4">
        <v>150</v>
      </c>
      <c r="F20" s="4" t="s">
        <v>37</v>
      </c>
      <c r="G20" s="7">
        <v>46279</v>
      </c>
    </row>
    <row r="21" spans="1:7" ht="15.75" x14ac:dyDescent="0.2">
      <c r="A21" s="3">
        <v>15</v>
      </c>
      <c r="B21" s="4" t="s">
        <v>28</v>
      </c>
      <c r="C21" s="3" t="s">
        <v>6</v>
      </c>
      <c r="D21" s="8" t="s">
        <v>15</v>
      </c>
      <c r="E21" s="4">
        <v>99</v>
      </c>
      <c r="F21" s="4" t="s">
        <v>37</v>
      </c>
      <c r="G21" s="7">
        <v>46280</v>
      </c>
    </row>
    <row r="22" spans="1:7" ht="15.75" x14ac:dyDescent="0.2">
      <c r="A22" s="3">
        <v>16</v>
      </c>
      <c r="B22" s="4" t="s">
        <v>28</v>
      </c>
      <c r="C22" s="3" t="s">
        <v>29</v>
      </c>
      <c r="D22" s="10" t="s">
        <v>17</v>
      </c>
      <c r="E22" s="4">
        <v>45</v>
      </c>
      <c r="F22" s="4" t="s">
        <v>37</v>
      </c>
      <c r="G22" s="7">
        <v>46281</v>
      </c>
    </row>
    <row r="23" spans="1:7" ht="15.75" x14ac:dyDescent="0.2">
      <c r="A23" s="3">
        <v>17</v>
      </c>
      <c r="B23" s="4" t="s">
        <v>28</v>
      </c>
      <c r="C23" s="3" t="s">
        <v>30</v>
      </c>
      <c r="D23" s="10" t="s">
        <v>17</v>
      </c>
      <c r="E23" s="4">
        <v>500</v>
      </c>
      <c r="F23" s="4" t="s">
        <v>37</v>
      </c>
      <c r="G23" s="7">
        <v>46282</v>
      </c>
    </row>
    <row r="24" spans="1:7" ht="15.75" x14ac:dyDescent="0.2">
      <c r="A24" s="3">
        <v>18</v>
      </c>
      <c r="B24" s="4" t="s">
        <v>32</v>
      </c>
      <c r="C24" s="3" t="s">
        <v>33</v>
      </c>
      <c r="D24" s="10" t="s">
        <v>17</v>
      </c>
      <c r="E24" s="4">
        <v>99</v>
      </c>
      <c r="F24" s="4" t="s">
        <v>37</v>
      </c>
      <c r="G24" s="7">
        <v>46283</v>
      </c>
    </row>
    <row r="25" spans="1:7" ht="15.75" x14ac:dyDescent="0.2">
      <c r="A25" s="3">
        <v>19</v>
      </c>
      <c r="B25" s="4" t="s">
        <v>32</v>
      </c>
      <c r="C25" s="3" t="s">
        <v>34</v>
      </c>
      <c r="D25" s="11" t="s">
        <v>15</v>
      </c>
      <c r="E25" s="4">
        <v>350</v>
      </c>
      <c r="F25" s="4" t="s">
        <v>37</v>
      </c>
      <c r="G25" s="7">
        <v>46284</v>
      </c>
    </row>
    <row r="26" spans="1:7" ht="15.75" x14ac:dyDescent="0.2">
      <c r="A26" s="13" t="s">
        <v>35</v>
      </c>
      <c r="B26" s="5"/>
      <c r="C26" s="5"/>
      <c r="E26" s="6">
        <f>SUBTOTAL(109,Tabela1524[Valor])</f>
        <v>8359</v>
      </c>
      <c r="F26" s="6"/>
      <c r="G26" s="12"/>
    </row>
  </sheetData>
  <mergeCells count="1">
    <mergeCell ref="B2:B5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8F44-77C4-4124-AFFC-219A7F4FDBBE}">
  <dimension ref="A1:G26"/>
  <sheetViews>
    <sheetView showGridLines="0" workbookViewId="0">
      <selection activeCell="A6" sqref="A6:XFD6"/>
    </sheetView>
  </sheetViews>
  <sheetFormatPr defaultRowHeight="12.75" x14ac:dyDescent="0.2"/>
  <cols>
    <col min="1" max="1" width="18.75" customWidth="1"/>
    <col min="2" max="4" width="28.625" customWidth="1"/>
    <col min="5" max="6" width="14.875" customWidth="1"/>
    <col min="7" max="7" width="33.25" customWidth="1"/>
  </cols>
  <sheetData>
    <row r="1" spans="1:7" ht="22.5" customHeight="1" x14ac:dyDescent="0.2">
      <c r="A1" s="1"/>
      <c r="B1" s="1"/>
      <c r="C1" s="21" t="s">
        <v>47</v>
      </c>
      <c r="D1" s="22">
        <v>3400</v>
      </c>
      <c r="E1" s="1"/>
      <c r="F1" s="1"/>
      <c r="G1" s="1"/>
    </row>
    <row r="2" spans="1:7" ht="15.75" customHeight="1" x14ac:dyDescent="0.2">
      <c r="A2" s="1"/>
      <c r="B2" s="20" t="s">
        <v>43</v>
      </c>
      <c r="C2" s="11" t="s">
        <v>15</v>
      </c>
      <c r="D2" s="17">
        <f>SUMIFS(Tabela1525[Valor], Tabela1525[Status], "Pago")</f>
        <v>6205</v>
      </c>
      <c r="E2" s="1"/>
      <c r="F2" s="14"/>
      <c r="G2" s="14"/>
    </row>
    <row r="3" spans="1:7" ht="19.5" x14ac:dyDescent="0.2">
      <c r="A3" s="1"/>
      <c r="B3" s="20"/>
      <c r="C3" s="21" t="s">
        <v>17</v>
      </c>
      <c r="D3" s="23">
        <f>SUMIFS(Tabela1525[Valor], Tabela1525[Status], "Parcelado")</f>
        <v>1014</v>
      </c>
      <c r="E3" s="1"/>
      <c r="F3" s="16"/>
      <c r="G3" s="19"/>
    </row>
    <row r="4" spans="1:7" ht="15.75" customHeight="1" x14ac:dyDescent="0.2">
      <c r="A4" s="1"/>
      <c r="B4" s="20"/>
      <c r="C4" s="15" t="s">
        <v>16</v>
      </c>
      <c r="D4" s="18">
        <f>SUMIFS(Tabela1525[Valor], Tabela1525[Status], "Débito")</f>
        <v>1140</v>
      </c>
      <c r="E4" s="1"/>
      <c r="F4" s="14"/>
      <c r="G4" s="1"/>
    </row>
    <row r="5" spans="1:7" ht="19.5" x14ac:dyDescent="0.2">
      <c r="A5" s="1"/>
      <c r="B5" s="20"/>
      <c r="C5" s="21" t="s">
        <v>38</v>
      </c>
      <c r="D5" s="22">
        <f>D1-SUM(D2:D4)</f>
        <v>-4959</v>
      </c>
      <c r="E5" s="1"/>
      <c r="F5" s="16"/>
      <c r="G5" s="1"/>
    </row>
    <row r="6" spans="1:7" s="25" customFormat="1" ht="33" customHeight="1" x14ac:dyDescent="0.2">
      <c r="A6" s="24" t="s">
        <v>22</v>
      </c>
      <c r="B6" s="24" t="s">
        <v>7</v>
      </c>
      <c r="C6" s="24" t="s">
        <v>8</v>
      </c>
      <c r="D6" s="24" t="s">
        <v>11</v>
      </c>
      <c r="E6" s="24" t="s">
        <v>10</v>
      </c>
      <c r="F6" s="24" t="s">
        <v>36</v>
      </c>
      <c r="G6" s="24" t="s">
        <v>9</v>
      </c>
    </row>
    <row r="7" spans="1:7" ht="15.75" x14ac:dyDescent="0.2">
      <c r="A7" s="3">
        <v>1</v>
      </c>
      <c r="B7" s="4" t="s">
        <v>13</v>
      </c>
      <c r="C7" s="3" t="s">
        <v>14</v>
      </c>
      <c r="D7" s="8" t="s">
        <v>15</v>
      </c>
      <c r="E7" s="4">
        <v>1900</v>
      </c>
      <c r="F7" s="4" t="s">
        <v>37</v>
      </c>
      <c r="G7" s="7">
        <v>46296</v>
      </c>
    </row>
    <row r="8" spans="1:7" ht="15.75" x14ac:dyDescent="0.2">
      <c r="A8" s="3">
        <v>2</v>
      </c>
      <c r="B8" s="4" t="s">
        <v>13</v>
      </c>
      <c r="C8" s="3" t="s">
        <v>18</v>
      </c>
      <c r="D8" s="8" t="s">
        <v>15</v>
      </c>
      <c r="E8" s="4">
        <v>250</v>
      </c>
      <c r="F8" s="4" t="s">
        <v>37</v>
      </c>
      <c r="G8" s="7">
        <v>46297</v>
      </c>
    </row>
    <row r="9" spans="1:7" ht="15.75" x14ac:dyDescent="0.2">
      <c r="A9" s="3">
        <v>3</v>
      </c>
      <c r="B9" s="4" t="s">
        <v>13</v>
      </c>
      <c r="C9" s="3" t="s">
        <v>19</v>
      </c>
      <c r="D9" s="8" t="s">
        <v>15</v>
      </c>
      <c r="E9" s="4">
        <v>500</v>
      </c>
      <c r="F9" s="4" t="s">
        <v>37</v>
      </c>
      <c r="G9" s="7">
        <v>46298</v>
      </c>
    </row>
    <row r="10" spans="1:7" ht="15.75" x14ac:dyDescent="0.2">
      <c r="A10" s="3">
        <v>4</v>
      </c>
      <c r="B10" s="4" t="s">
        <v>13</v>
      </c>
      <c r="C10" s="3" t="s">
        <v>20</v>
      </c>
      <c r="D10" s="9" t="s">
        <v>16</v>
      </c>
      <c r="E10" s="4">
        <v>250</v>
      </c>
      <c r="F10" s="4" t="s">
        <v>37</v>
      </c>
      <c r="G10" s="7">
        <v>46299</v>
      </c>
    </row>
    <row r="11" spans="1:7" ht="15.75" x14ac:dyDescent="0.2">
      <c r="A11" s="3">
        <v>5</v>
      </c>
      <c r="B11" s="4" t="s">
        <v>13</v>
      </c>
      <c r="C11" s="3" t="s">
        <v>0</v>
      </c>
      <c r="D11" s="10" t="s">
        <v>17</v>
      </c>
      <c r="E11" s="4">
        <v>120</v>
      </c>
      <c r="F11" s="4" t="s">
        <v>37</v>
      </c>
      <c r="G11" s="7">
        <v>46300</v>
      </c>
    </row>
    <row r="12" spans="1:7" ht="15.75" x14ac:dyDescent="0.2">
      <c r="A12" s="3">
        <v>6</v>
      </c>
      <c r="B12" s="4" t="s">
        <v>5</v>
      </c>
      <c r="C12" s="3" t="s">
        <v>4</v>
      </c>
      <c r="D12" s="8" t="s">
        <v>15</v>
      </c>
      <c r="E12" s="4">
        <v>1600</v>
      </c>
      <c r="F12" s="4" t="s">
        <v>37</v>
      </c>
      <c r="G12" s="7">
        <v>46301</v>
      </c>
    </row>
    <row r="13" spans="1:7" ht="15.75" x14ac:dyDescent="0.2">
      <c r="A13" s="3">
        <v>7</v>
      </c>
      <c r="B13" s="4" t="s">
        <v>5</v>
      </c>
      <c r="C13" s="3" t="s">
        <v>21</v>
      </c>
      <c r="D13" s="10" t="s">
        <v>17</v>
      </c>
      <c r="E13" s="4">
        <v>250</v>
      </c>
      <c r="F13" s="4" t="s">
        <v>37</v>
      </c>
      <c r="G13" s="7">
        <v>46302</v>
      </c>
    </row>
    <row r="14" spans="1:7" ht="15.75" x14ac:dyDescent="0.2">
      <c r="A14" s="3">
        <v>8</v>
      </c>
      <c r="B14" s="4" t="s">
        <v>13</v>
      </c>
      <c r="C14" s="3" t="s">
        <v>12</v>
      </c>
      <c r="D14" s="8" t="s">
        <v>15</v>
      </c>
      <c r="E14" s="4">
        <v>950</v>
      </c>
      <c r="F14" s="4" t="s">
        <v>37</v>
      </c>
      <c r="G14" s="7">
        <v>46303</v>
      </c>
    </row>
    <row r="15" spans="1:7" ht="15.75" x14ac:dyDescent="0.2">
      <c r="A15" s="3">
        <v>9</v>
      </c>
      <c r="B15" s="4" t="s">
        <v>3</v>
      </c>
      <c r="C15" s="3" t="s">
        <v>12</v>
      </c>
      <c r="D15" s="9" t="s">
        <v>16</v>
      </c>
      <c r="E15" s="4">
        <v>90</v>
      </c>
      <c r="F15" s="4" t="s">
        <v>37</v>
      </c>
      <c r="G15" s="7">
        <v>46304</v>
      </c>
    </row>
    <row r="16" spans="1:7" ht="15.75" x14ac:dyDescent="0.2">
      <c r="A16" s="3">
        <v>10</v>
      </c>
      <c r="B16" s="4" t="s">
        <v>23</v>
      </c>
      <c r="C16" s="3" t="s">
        <v>24</v>
      </c>
      <c r="D16" s="9" t="s">
        <v>16</v>
      </c>
      <c r="E16" s="4">
        <v>500</v>
      </c>
      <c r="F16" s="4" t="s">
        <v>37</v>
      </c>
      <c r="G16" s="7">
        <v>46305</v>
      </c>
    </row>
    <row r="17" spans="1:7" ht="15.75" x14ac:dyDescent="0.2">
      <c r="A17" s="3">
        <v>11</v>
      </c>
      <c r="B17" s="4" t="s">
        <v>23</v>
      </c>
      <c r="C17" s="3" t="s">
        <v>27</v>
      </c>
      <c r="D17" s="8" t="s">
        <v>15</v>
      </c>
      <c r="E17" s="4">
        <v>56</v>
      </c>
      <c r="F17" s="4" t="s">
        <v>37</v>
      </c>
      <c r="G17" s="7">
        <v>46306</v>
      </c>
    </row>
    <row r="18" spans="1:7" ht="15.75" x14ac:dyDescent="0.2">
      <c r="A18" s="3">
        <v>12</v>
      </c>
      <c r="B18" s="4" t="s">
        <v>26</v>
      </c>
      <c r="C18" s="3" t="s">
        <v>2</v>
      </c>
      <c r="D18" s="8" t="s">
        <v>15</v>
      </c>
      <c r="E18" s="4">
        <v>500</v>
      </c>
      <c r="F18" s="4" t="s">
        <v>37</v>
      </c>
      <c r="G18" s="7">
        <v>46307</v>
      </c>
    </row>
    <row r="19" spans="1:7" ht="15.75" x14ac:dyDescent="0.2">
      <c r="A19" s="3">
        <v>13</v>
      </c>
      <c r="B19" s="4" t="s">
        <v>26</v>
      </c>
      <c r="C19" s="3" t="s">
        <v>1</v>
      </c>
      <c r="D19" s="9" t="s">
        <v>16</v>
      </c>
      <c r="E19" s="4">
        <v>150</v>
      </c>
      <c r="F19" s="4" t="s">
        <v>37</v>
      </c>
      <c r="G19" s="7">
        <v>46308</v>
      </c>
    </row>
    <row r="20" spans="1:7" ht="15.75" x14ac:dyDescent="0.2">
      <c r="A20" s="3">
        <v>14</v>
      </c>
      <c r="B20" s="4" t="s">
        <v>26</v>
      </c>
      <c r="C20" s="3" t="s">
        <v>25</v>
      </c>
      <c r="D20" s="9" t="s">
        <v>16</v>
      </c>
      <c r="E20" s="4">
        <v>150</v>
      </c>
      <c r="F20" s="4" t="s">
        <v>37</v>
      </c>
      <c r="G20" s="7">
        <v>46309</v>
      </c>
    </row>
    <row r="21" spans="1:7" ht="15.75" x14ac:dyDescent="0.2">
      <c r="A21" s="3">
        <v>15</v>
      </c>
      <c r="B21" s="4" t="s">
        <v>28</v>
      </c>
      <c r="C21" s="3" t="s">
        <v>6</v>
      </c>
      <c r="D21" s="8" t="s">
        <v>15</v>
      </c>
      <c r="E21" s="4">
        <v>99</v>
      </c>
      <c r="F21" s="4" t="s">
        <v>37</v>
      </c>
      <c r="G21" s="7">
        <v>46310</v>
      </c>
    </row>
    <row r="22" spans="1:7" ht="15.75" x14ac:dyDescent="0.2">
      <c r="A22" s="3">
        <v>16</v>
      </c>
      <c r="B22" s="4" t="s">
        <v>28</v>
      </c>
      <c r="C22" s="3" t="s">
        <v>29</v>
      </c>
      <c r="D22" s="10" t="s">
        <v>17</v>
      </c>
      <c r="E22" s="4">
        <v>45</v>
      </c>
      <c r="F22" s="4" t="s">
        <v>37</v>
      </c>
      <c r="G22" s="7">
        <v>46311</v>
      </c>
    </row>
    <row r="23" spans="1:7" ht="15.75" x14ac:dyDescent="0.2">
      <c r="A23" s="3">
        <v>17</v>
      </c>
      <c r="B23" s="4" t="s">
        <v>28</v>
      </c>
      <c r="C23" s="3" t="s">
        <v>30</v>
      </c>
      <c r="D23" s="10" t="s">
        <v>17</v>
      </c>
      <c r="E23" s="4">
        <v>500</v>
      </c>
      <c r="F23" s="4" t="s">
        <v>37</v>
      </c>
      <c r="G23" s="7">
        <v>46312</v>
      </c>
    </row>
    <row r="24" spans="1:7" ht="15.75" x14ac:dyDescent="0.2">
      <c r="A24" s="3">
        <v>18</v>
      </c>
      <c r="B24" s="4" t="s">
        <v>32</v>
      </c>
      <c r="C24" s="3" t="s">
        <v>33</v>
      </c>
      <c r="D24" s="10" t="s">
        <v>17</v>
      </c>
      <c r="E24" s="4">
        <v>99</v>
      </c>
      <c r="F24" s="4" t="s">
        <v>37</v>
      </c>
      <c r="G24" s="7">
        <v>46313</v>
      </c>
    </row>
    <row r="25" spans="1:7" ht="15.75" x14ac:dyDescent="0.2">
      <c r="A25" s="3">
        <v>19</v>
      </c>
      <c r="B25" s="4" t="s">
        <v>32</v>
      </c>
      <c r="C25" s="3" t="s">
        <v>34</v>
      </c>
      <c r="D25" s="11" t="s">
        <v>15</v>
      </c>
      <c r="E25" s="4">
        <v>350</v>
      </c>
      <c r="F25" s="4" t="s">
        <v>37</v>
      </c>
      <c r="G25" s="7">
        <v>46314</v>
      </c>
    </row>
    <row r="26" spans="1:7" ht="15.75" x14ac:dyDescent="0.2">
      <c r="A26" s="13" t="s">
        <v>35</v>
      </c>
      <c r="B26" s="5"/>
      <c r="C26" s="5"/>
      <c r="E26" s="6">
        <f>SUBTOTAL(109,Tabela1525[Valor])</f>
        <v>8359</v>
      </c>
      <c r="F26" s="6"/>
      <c r="G26" s="12"/>
    </row>
  </sheetData>
  <mergeCells count="1">
    <mergeCell ref="B2:B5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7F884-5213-46C8-A5DA-D095927E1041}">
  <dimension ref="A1:G26"/>
  <sheetViews>
    <sheetView showGridLines="0" workbookViewId="0">
      <selection activeCell="A6" sqref="A6:XFD6"/>
    </sheetView>
  </sheetViews>
  <sheetFormatPr defaultRowHeight="12.75" x14ac:dyDescent="0.2"/>
  <cols>
    <col min="1" max="1" width="18.75" customWidth="1"/>
    <col min="2" max="4" width="28.625" customWidth="1"/>
    <col min="5" max="6" width="14.875" customWidth="1"/>
    <col min="7" max="7" width="34.125" customWidth="1"/>
  </cols>
  <sheetData>
    <row r="1" spans="1:7" ht="22.5" customHeight="1" x14ac:dyDescent="0.2">
      <c r="A1" s="1"/>
      <c r="B1" s="1"/>
      <c r="C1" s="21" t="s">
        <v>47</v>
      </c>
      <c r="D1" s="22">
        <v>3400</v>
      </c>
      <c r="E1" s="1"/>
      <c r="F1" s="1"/>
      <c r="G1" s="1"/>
    </row>
    <row r="2" spans="1:7" ht="15.75" x14ac:dyDescent="0.2">
      <c r="A2" s="1"/>
      <c r="B2" s="20" t="s">
        <v>44</v>
      </c>
      <c r="C2" s="11" t="s">
        <v>15</v>
      </c>
      <c r="D2" s="17">
        <f>SUMIFS(Tabela15246[Valor], Tabela15246[Status], "Pago")</f>
        <v>6205</v>
      </c>
      <c r="E2" s="1"/>
      <c r="F2" s="14"/>
      <c r="G2" s="14"/>
    </row>
    <row r="3" spans="1:7" ht="19.5" x14ac:dyDescent="0.2">
      <c r="A3" s="1"/>
      <c r="B3" s="20"/>
      <c r="C3" s="21" t="s">
        <v>17</v>
      </c>
      <c r="D3" s="23">
        <f>SUMIFS(Tabela15246[Valor], Tabela15246[Status], "Parcelado")</f>
        <v>1014</v>
      </c>
      <c r="E3" s="1"/>
      <c r="F3" s="16"/>
      <c r="G3" s="19"/>
    </row>
    <row r="4" spans="1:7" ht="15.75" x14ac:dyDescent="0.2">
      <c r="A4" s="1"/>
      <c r="B4" s="20"/>
      <c r="C4" s="15" t="s">
        <v>16</v>
      </c>
      <c r="D4" s="18">
        <f>SUMIFS(Tabela15246[Valor], Tabela15246[Status], "Débito")</f>
        <v>1140</v>
      </c>
      <c r="E4" s="1"/>
      <c r="F4" s="14"/>
      <c r="G4" s="1"/>
    </row>
    <row r="5" spans="1:7" ht="19.5" x14ac:dyDescent="0.2">
      <c r="A5" s="1"/>
      <c r="B5" s="20"/>
      <c r="C5" s="21" t="s">
        <v>38</v>
      </c>
      <c r="D5" s="22">
        <f>D1-SUM(D2:D4)</f>
        <v>-4959</v>
      </c>
      <c r="E5" s="1"/>
      <c r="F5" s="16"/>
      <c r="G5" s="1"/>
    </row>
    <row r="6" spans="1:7" s="25" customFormat="1" ht="33" customHeight="1" x14ac:dyDescent="0.2">
      <c r="A6" s="24" t="s">
        <v>22</v>
      </c>
      <c r="B6" s="24" t="s">
        <v>7</v>
      </c>
      <c r="C6" s="24" t="s">
        <v>8</v>
      </c>
      <c r="D6" s="24" t="s">
        <v>11</v>
      </c>
      <c r="E6" s="24" t="s">
        <v>10</v>
      </c>
      <c r="F6" s="24" t="s">
        <v>36</v>
      </c>
      <c r="G6" s="24" t="s">
        <v>9</v>
      </c>
    </row>
    <row r="7" spans="1:7" ht="15.75" x14ac:dyDescent="0.2">
      <c r="A7" s="3">
        <v>1</v>
      </c>
      <c r="B7" s="4" t="s">
        <v>13</v>
      </c>
      <c r="C7" s="3" t="s">
        <v>14</v>
      </c>
      <c r="D7" s="8" t="s">
        <v>15</v>
      </c>
      <c r="E7" s="4">
        <v>1900</v>
      </c>
      <c r="F7" s="4" t="s">
        <v>37</v>
      </c>
      <c r="G7" s="7">
        <v>46327</v>
      </c>
    </row>
    <row r="8" spans="1:7" ht="15.75" x14ac:dyDescent="0.2">
      <c r="A8" s="3">
        <v>2</v>
      </c>
      <c r="B8" s="4" t="s">
        <v>13</v>
      </c>
      <c r="C8" s="3" t="s">
        <v>18</v>
      </c>
      <c r="D8" s="8" t="s">
        <v>15</v>
      </c>
      <c r="E8" s="4">
        <v>250</v>
      </c>
      <c r="F8" s="4" t="s">
        <v>37</v>
      </c>
      <c r="G8" s="7">
        <v>46328</v>
      </c>
    </row>
    <row r="9" spans="1:7" ht="15.75" x14ac:dyDescent="0.2">
      <c r="A9" s="3">
        <v>3</v>
      </c>
      <c r="B9" s="4" t="s">
        <v>13</v>
      </c>
      <c r="C9" s="3" t="s">
        <v>19</v>
      </c>
      <c r="D9" s="8" t="s">
        <v>15</v>
      </c>
      <c r="E9" s="4">
        <v>500</v>
      </c>
      <c r="F9" s="4" t="s">
        <v>37</v>
      </c>
      <c r="G9" s="7">
        <v>46329</v>
      </c>
    </row>
    <row r="10" spans="1:7" ht="15.75" x14ac:dyDescent="0.2">
      <c r="A10" s="3">
        <v>4</v>
      </c>
      <c r="B10" s="4" t="s">
        <v>13</v>
      </c>
      <c r="C10" s="3" t="s">
        <v>20</v>
      </c>
      <c r="D10" s="9" t="s">
        <v>16</v>
      </c>
      <c r="E10" s="4">
        <v>250</v>
      </c>
      <c r="F10" s="4" t="s">
        <v>37</v>
      </c>
      <c r="G10" s="7">
        <v>46330</v>
      </c>
    </row>
    <row r="11" spans="1:7" ht="15.75" x14ac:dyDescent="0.2">
      <c r="A11" s="3">
        <v>5</v>
      </c>
      <c r="B11" s="4" t="s">
        <v>13</v>
      </c>
      <c r="C11" s="3" t="s">
        <v>0</v>
      </c>
      <c r="D11" s="10" t="s">
        <v>17</v>
      </c>
      <c r="E11" s="4">
        <v>120</v>
      </c>
      <c r="F11" s="4" t="s">
        <v>37</v>
      </c>
      <c r="G11" s="7">
        <v>46331</v>
      </c>
    </row>
    <row r="12" spans="1:7" ht="15.75" x14ac:dyDescent="0.2">
      <c r="A12" s="3">
        <v>6</v>
      </c>
      <c r="B12" s="4" t="s">
        <v>5</v>
      </c>
      <c r="C12" s="3" t="s">
        <v>4</v>
      </c>
      <c r="D12" s="8" t="s">
        <v>15</v>
      </c>
      <c r="E12" s="4">
        <v>1600</v>
      </c>
      <c r="F12" s="4" t="s">
        <v>37</v>
      </c>
      <c r="G12" s="7">
        <v>46332</v>
      </c>
    </row>
    <row r="13" spans="1:7" ht="15.75" x14ac:dyDescent="0.2">
      <c r="A13" s="3">
        <v>7</v>
      </c>
      <c r="B13" s="4" t="s">
        <v>5</v>
      </c>
      <c r="C13" s="3" t="s">
        <v>21</v>
      </c>
      <c r="D13" s="10" t="s">
        <v>17</v>
      </c>
      <c r="E13" s="4">
        <v>250</v>
      </c>
      <c r="F13" s="4" t="s">
        <v>37</v>
      </c>
      <c r="G13" s="7">
        <v>46333</v>
      </c>
    </row>
    <row r="14" spans="1:7" ht="15.75" x14ac:dyDescent="0.2">
      <c r="A14" s="3">
        <v>8</v>
      </c>
      <c r="B14" s="4" t="s">
        <v>13</v>
      </c>
      <c r="C14" s="3" t="s">
        <v>12</v>
      </c>
      <c r="D14" s="8" t="s">
        <v>15</v>
      </c>
      <c r="E14" s="4">
        <v>950</v>
      </c>
      <c r="F14" s="4" t="s">
        <v>37</v>
      </c>
      <c r="G14" s="7">
        <v>46334</v>
      </c>
    </row>
    <row r="15" spans="1:7" ht="15.75" x14ac:dyDescent="0.2">
      <c r="A15" s="3">
        <v>9</v>
      </c>
      <c r="B15" s="4" t="s">
        <v>3</v>
      </c>
      <c r="C15" s="3" t="s">
        <v>12</v>
      </c>
      <c r="D15" s="9" t="s">
        <v>16</v>
      </c>
      <c r="E15" s="4">
        <v>90</v>
      </c>
      <c r="F15" s="4" t="s">
        <v>37</v>
      </c>
      <c r="G15" s="7">
        <v>46335</v>
      </c>
    </row>
    <row r="16" spans="1:7" ht="15.75" x14ac:dyDescent="0.2">
      <c r="A16" s="3">
        <v>10</v>
      </c>
      <c r="B16" s="4" t="s">
        <v>23</v>
      </c>
      <c r="C16" s="3" t="s">
        <v>24</v>
      </c>
      <c r="D16" s="9" t="s">
        <v>16</v>
      </c>
      <c r="E16" s="4">
        <v>500</v>
      </c>
      <c r="F16" s="4" t="s">
        <v>37</v>
      </c>
      <c r="G16" s="7">
        <v>46336</v>
      </c>
    </row>
    <row r="17" spans="1:7" ht="15.75" x14ac:dyDescent="0.2">
      <c r="A17" s="3">
        <v>11</v>
      </c>
      <c r="B17" s="4" t="s">
        <v>23</v>
      </c>
      <c r="C17" s="3" t="s">
        <v>27</v>
      </c>
      <c r="D17" s="8" t="s">
        <v>15</v>
      </c>
      <c r="E17" s="4">
        <v>56</v>
      </c>
      <c r="F17" s="4" t="s">
        <v>37</v>
      </c>
      <c r="G17" s="7">
        <v>46337</v>
      </c>
    </row>
    <row r="18" spans="1:7" ht="15.75" x14ac:dyDescent="0.2">
      <c r="A18" s="3">
        <v>12</v>
      </c>
      <c r="B18" s="4" t="s">
        <v>26</v>
      </c>
      <c r="C18" s="3" t="s">
        <v>2</v>
      </c>
      <c r="D18" s="8" t="s">
        <v>15</v>
      </c>
      <c r="E18" s="4">
        <v>500</v>
      </c>
      <c r="F18" s="4" t="s">
        <v>37</v>
      </c>
      <c r="G18" s="7">
        <v>46338</v>
      </c>
    </row>
    <row r="19" spans="1:7" ht="15.75" x14ac:dyDescent="0.2">
      <c r="A19" s="3">
        <v>13</v>
      </c>
      <c r="B19" s="4" t="s">
        <v>26</v>
      </c>
      <c r="C19" s="3" t="s">
        <v>1</v>
      </c>
      <c r="D19" s="9" t="s">
        <v>16</v>
      </c>
      <c r="E19" s="4">
        <v>150</v>
      </c>
      <c r="F19" s="4" t="s">
        <v>37</v>
      </c>
      <c r="G19" s="7">
        <v>46339</v>
      </c>
    </row>
    <row r="20" spans="1:7" ht="15.75" x14ac:dyDescent="0.2">
      <c r="A20" s="3">
        <v>14</v>
      </c>
      <c r="B20" s="4" t="s">
        <v>26</v>
      </c>
      <c r="C20" s="3" t="s">
        <v>25</v>
      </c>
      <c r="D20" s="9" t="s">
        <v>16</v>
      </c>
      <c r="E20" s="4">
        <v>150</v>
      </c>
      <c r="F20" s="4" t="s">
        <v>37</v>
      </c>
      <c r="G20" s="7">
        <v>46340</v>
      </c>
    </row>
    <row r="21" spans="1:7" ht="15.75" x14ac:dyDescent="0.2">
      <c r="A21" s="3">
        <v>15</v>
      </c>
      <c r="B21" s="4" t="s">
        <v>28</v>
      </c>
      <c r="C21" s="3" t="s">
        <v>6</v>
      </c>
      <c r="D21" s="8" t="s">
        <v>15</v>
      </c>
      <c r="E21" s="4">
        <v>99</v>
      </c>
      <c r="F21" s="4" t="s">
        <v>37</v>
      </c>
      <c r="G21" s="7">
        <v>46341</v>
      </c>
    </row>
    <row r="22" spans="1:7" ht="15.75" x14ac:dyDescent="0.2">
      <c r="A22" s="3">
        <v>16</v>
      </c>
      <c r="B22" s="4" t="s">
        <v>28</v>
      </c>
      <c r="C22" s="3" t="s">
        <v>29</v>
      </c>
      <c r="D22" s="10" t="s">
        <v>17</v>
      </c>
      <c r="E22" s="4">
        <v>45</v>
      </c>
      <c r="F22" s="4" t="s">
        <v>37</v>
      </c>
      <c r="G22" s="7">
        <v>46342</v>
      </c>
    </row>
    <row r="23" spans="1:7" ht="15.75" x14ac:dyDescent="0.2">
      <c r="A23" s="3">
        <v>17</v>
      </c>
      <c r="B23" s="4" t="s">
        <v>28</v>
      </c>
      <c r="C23" s="3" t="s">
        <v>30</v>
      </c>
      <c r="D23" s="10" t="s">
        <v>17</v>
      </c>
      <c r="E23" s="4">
        <v>500</v>
      </c>
      <c r="F23" s="4" t="s">
        <v>37</v>
      </c>
      <c r="G23" s="7">
        <v>46343</v>
      </c>
    </row>
    <row r="24" spans="1:7" ht="15.75" x14ac:dyDescent="0.2">
      <c r="A24" s="3">
        <v>18</v>
      </c>
      <c r="B24" s="4" t="s">
        <v>32</v>
      </c>
      <c r="C24" s="3" t="s">
        <v>33</v>
      </c>
      <c r="D24" s="10" t="s">
        <v>17</v>
      </c>
      <c r="E24" s="4">
        <v>99</v>
      </c>
      <c r="F24" s="4" t="s">
        <v>37</v>
      </c>
      <c r="G24" s="7">
        <v>46344</v>
      </c>
    </row>
    <row r="25" spans="1:7" ht="15.75" x14ac:dyDescent="0.2">
      <c r="A25" s="3">
        <v>19</v>
      </c>
      <c r="B25" s="4" t="s">
        <v>32</v>
      </c>
      <c r="C25" s="3" t="s">
        <v>34</v>
      </c>
      <c r="D25" s="11" t="s">
        <v>15</v>
      </c>
      <c r="E25" s="4">
        <v>350</v>
      </c>
      <c r="F25" s="4" t="s">
        <v>37</v>
      </c>
      <c r="G25" s="7">
        <v>46345</v>
      </c>
    </row>
    <row r="26" spans="1:7" ht="15.75" x14ac:dyDescent="0.2">
      <c r="A26" s="13" t="s">
        <v>35</v>
      </c>
      <c r="B26" s="5"/>
      <c r="C26" s="5"/>
      <c r="E26" s="6">
        <f>SUBTOTAL(109,Tabela15246[Valor])</f>
        <v>8359</v>
      </c>
      <c r="F26" s="6"/>
      <c r="G26" s="12"/>
    </row>
  </sheetData>
  <mergeCells count="1">
    <mergeCell ref="B2:B5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D96E4-DC9B-4800-A201-EBC1B66534DD}">
  <dimension ref="A1:G26"/>
  <sheetViews>
    <sheetView showGridLines="0" workbookViewId="0">
      <selection activeCell="E10" sqref="E10"/>
    </sheetView>
  </sheetViews>
  <sheetFormatPr defaultRowHeight="12.75" x14ac:dyDescent="0.2"/>
  <cols>
    <col min="1" max="1" width="18.75" customWidth="1"/>
    <col min="2" max="4" width="28.625" customWidth="1"/>
    <col min="5" max="6" width="14.875" customWidth="1"/>
    <col min="7" max="7" width="36.875" customWidth="1"/>
  </cols>
  <sheetData>
    <row r="1" spans="1:7" ht="22.5" customHeight="1" x14ac:dyDescent="0.2">
      <c r="A1" s="1"/>
      <c r="B1" s="1"/>
      <c r="C1" s="21" t="s">
        <v>47</v>
      </c>
      <c r="D1" s="22">
        <v>1555</v>
      </c>
      <c r="E1" s="1"/>
      <c r="F1" s="1"/>
      <c r="G1" s="1"/>
    </row>
    <row r="2" spans="1:7" ht="15.75" x14ac:dyDescent="0.2">
      <c r="A2" s="1"/>
      <c r="B2" s="20" t="s">
        <v>45</v>
      </c>
      <c r="C2" s="11" t="s">
        <v>15</v>
      </c>
      <c r="D2" s="17">
        <f>SUMIFS(Tabela15247[Valor], Tabela15247[Status], "Pago")</f>
        <v>6205</v>
      </c>
      <c r="E2" s="1"/>
      <c r="F2" s="14"/>
      <c r="G2" s="14"/>
    </row>
    <row r="3" spans="1:7" ht="19.5" x14ac:dyDescent="0.2">
      <c r="A3" s="1"/>
      <c r="B3" s="20"/>
      <c r="C3" s="21" t="s">
        <v>17</v>
      </c>
      <c r="D3" s="23">
        <f>SUMIFS(Tabela15247[Valor], Tabela15247[Status], "Parcelado")</f>
        <v>1014</v>
      </c>
      <c r="E3" s="1"/>
      <c r="F3" s="16"/>
      <c r="G3" s="19"/>
    </row>
    <row r="4" spans="1:7" ht="15.75" x14ac:dyDescent="0.2">
      <c r="A4" s="1"/>
      <c r="B4" s="20"/>
      <c r="C4" s="15" t="s">
        <v>16</v>
      </c>
      <c r="D4" s="18">
        <f>SUMIFS(Tabela15247[Valor], Tabela15247[Status], "Débito")</f>
        <v>1140</v>
      </c>
      <c r="E4" s="1"/>
      <c r="F4" s="14"/>
      <c r="G4" s="1"/>
    </row>
    <row r="5" spans="1:7" ht="19.5" x14ac:dyDescent="0.2">
      <c r="A5" s="1"/>
      <c r="B5" s="20"/>
      <c r="C5" s="21" t="s">
        <v>38</v>
      </c>
      <c r="D5" s="22">
        <f>D1-SUM(D2:D4)</f>
        <v>-6804</v>
      </c>
      <c r="E5" s="1"/>
      <c r="F5" s="16"/>
      <c r="G5" s="1"/>
    </row>
    <row r="6" spans="1:7" s="25" customFormat="1" ht="33" customHeight="1" x14ac:dyDescent="0.2">
      <c r="A6" s="24" t="s">
        <v>22</v>
      </c>
      <c r="B6" s="24" t="s">
        <v>7</v>
      </c>
      <c r="C6" s="24" t="s">
        <v>8</v>
      </c>
      <c r="D6" s="24" t="s">
        <v>11</v>
      </c>
      <c r="E6" s="24" t="s">
        <v>10</v>
      </c>
      <c r="F6" s="24" t="s">
        <v>36</v>
      </c>
      <c r="G6" s="24" t="s">
        <v>9</v>
      </c>
    </row>
    <row r="7" spans="1:7" ht="15.75" x14ac:dyDescent="0.2">
      <c r="A7" s="3">
        <v>1</v>
      </c>
      <c r="B7" s="4" t="s">
        <v>13</v>
      </c>
      <c r="C7" s="3" t="s">
        <v>14</v>
      </c>
      <c r="D7" s="8" t="s">
        <v>15</v>
      </c>
      <c r="E7" s="4">
        <v>1900</v>
      </c>
      <c r="F7" s="4" t="s">
        <v>37</v>
      </c>
      <c r="G7" s="7">
        <v>46357</v>
      </c>
    </row>
    <row r="8" spans="1:7" ht="15.75" x14ac:dyDescent="0.2">
      <c r="A8" s="3">
        <v>2</v>
      </c>
      <c r="B8" s="4" t="s">
        <v>13</v>
      </c>
      <c r="C8" s="3" t="s">
        <v>18</v>
      </c>
      <c r="D8" s="8" t="s">
        <v>15</v>
      </c>
      <c r="E8" s="4">
        <v>250</v>
      </c>
      <c r="F8" s="4" t="s">
        <v>37</v>
      </c>
      <c r="G8" s="7">
        <v>46358</v>
      </c>
    </row>
    <row r="9" spans="1:7" ht="15.75" x14ac:dyDescent="0.2">
      <c r="A9" s="3">
        <v>3</v>
      </c>
      <c r="B9" s="4" t="s">
        <v>13</v>
      </c>
      <c r="C9" s="3" t="s">
        <v>19</v>
      </c>
      <c r="D9" s="8" t="s">
        <v>15</v>
      </c>
      <c r="E9" s="4">
        <v>500</v>
      </c>
      <c r="F9" s="4" t="s">
        <v>37</v>
      </c>
      <c r="G9" s="7">
        <v>46359</v>
      </c>
    </row>
    <row r="10" spans="1:7" ht="15.75" x14ac:dyDescent="0.2">
      <c r="A10" s="3">
        <v>4</v>
      </c>
      <c r="B10" s="4" t="s">
        <v>13</v>
      </c>
      <c r="C10" s="3" t="s">
        <v>20</v>
      </c>
      <c r="D10" s="9" t="s">
        <v>16</v>
      </c>
      <c r="E10" s="4">
        <v>250</v>
      </c>
      <c r="F10" s="4" t="s">
        <v>37</v>
      </c>
      <c r="G10" s="7">
        <v>46360</v>
      </c>
    </row>
    <row r="11" spans="1:7" ht="15.75" x14ac:dyDescent="0.2">
      <c r="A11" s="3">
        <v>5</v>
      </c>
      <c r="B11" s="4" t="s">
        <v>13</v>
      </c>
      <c r="C11" s="3" t="s">
        <v>0</v>
      </c>
      <c r="D11" s="10" t="s">
        <v>17</v>
      </c>
      <c r="E11" s="4">
        <v>120</v>
      </c>
      <c r="F11" s="4" t="s">
        <v>37</v>
      </c>
      <c r="G11" s="7">
        <v>46361</v>
      </c>
    </row>
    <row r="12" spans="1:7" ht="15.75" x14ac:dyDescent="0.2">
      <c r="A12" s="3">
        <v>6</v>
      </c>
      <c r="B12" s="4" t="s">
        <v>5</v>
      </c>
      <c r="C12" s="3" t="s">
        <v>4</v>
      </c>
      <c r="D12" s="8" t="s">
        <v>15</v>
      </c>
      <c r="E12" s="4">
        <v>1600</v>
      </c>
      <c r="F12" s="4" t="s">
        <v>37</v>
      </c>
      <c r="G12" s="7">
        <v>46362</v>
      </c>
    </row>
    <row r="13" spans="1:7" ht="15.75" x14ac:dyDescent="0.2">
      <c r="A13" s="3">
        <v>7</v>
      </c>
      <c r="B13" s="4" t="s">
        <v>5</v>
      </c>
      <c r="C13" s="3" t="s">
        <v>21</v>
      </c>
      <c r="D13" s="10" t="s">
        <v>17</v>
      </c>
      <c r="E13" s="4">
        <v>250</v>
      </c>
      <c r="F13" s="4" t="s">
        <v>37</v>
      </c>
      <c r="G13" s="7">
        <v>46363</v>
      </c>
    </row>
    <row r="14" spans="1:7" ht="15.75" x14ac:dyDescent="0.2">
      <c r="A14" s="3">
        <v>8</v>
      </c>
      <c r="B14" s="4" t="s">
        <v>13</v>
      </c>
      <c r="C14" s="3" t="s">
        <v>12</v>
      </c>
      <c r="D14" s="8" t="s">
        <v>15</v>
      </c>
      <c r="E14" s="4">
        <v>950</v>
      </c>
      <c r="F14" s="4" t="s">
        <v>37</v>
      </c>
      <c r="G14" s="7">
        <v>46364</v>
      </c>
    </row>
    <row r="15" spans="1:7" ht="15.75" x14ac:dyDescent="0.2">
      <c r="A15" s="3">
        <v>9</v>
      </c>
      <c r="B15" s="4" t="s">
        <v>3</v>
      </c>
      <c r="C15" s="3" t="s">
        <v>12</v>
      </c>
      <c r="D15" s="9" t="s">
        <v>16</v>
      </c>
      <c r="E15" s="4">
        <v>90</v>
      </c>
      <c r="F15" s="4" t="s">
        <v>37</v>
      </c>
      <c r="G15" s="7">
        <v>46365</v>
      </c>
    </row>
    <row r="16" spans="1:7" ht="15.75" x14ac:dyDescent="0.2">
      <c r="A16" s="3">
        <v>10</v>
      </c>
      <c r="B16" s="4" t="s">
        <v>23</v>
      </c>
      <c r="C16" s="3" t="s">
        <v>24</v>
      </c>
      <c r="D16" s="9" t="s">
        <v>16</v>
      </c>
      <c r="E16" s="4">
        <v>500</v>
      </c>
      <c r="F16" s="4" t="s">
        <v>37</v>
      </c>
      <c r="G16" s="7">
        <v>46366</v>
      </c>
    </row>
    <row r="17" spans="1:7" ht="15.75" x14ac:dyDescent="0.2">
      <c r="A17" s="3">
        <v>11</v>
      </c>
      <c r="B17" s="4" t="s">
        <v>23</v>
      </c>
      <c r="C17" s="3" t="s">
        <v>27</v>
      </c>
      <c r="D17" s="8" t="s">
        <v>15</v>
      </c>
      <c r="E17" s="4">
        <v>56</v>
      </c>
      <c r="F17" s="4" t="s">
        <v>37</v>
      </c>
      <c r="G17" s="7">
        <v>46367</v>
      </c>
    </row>
    <row r="18" spans="1:7" ht="15.75" x14ac:dyDescent="0.2">
      <c r="A18" s="3">
        <v>12</v>
      </c>
      <c r="B18" s="4" t="s">
        <v>26</v>
      </c>
      <c r="C18" s="3" t="s">
        <v>2</v>
      </c>
      <c r="D18" s="8" t="s">
        <v>15</v>
      </c>
      <c r="E18" s="4">
        <v>500</v>
      </c>
      <c r="F18" s="4" t="s">
        <v>37</v>
      </c>
      <c r="G18" s="7">
        <v>46368</v>
      </c>
    </row>
    <row r="19" spans="1:7" ht="15.75" x14ac:dyDescent="0.2">
      <c r="A19" s="3">
        <v>13</v>
      </c>
      <c r="B19" s="4" t="s">
        <v>26</v>
      </c>
      <c r="C19" s="3" t="s">
        <v>1</v>
      </c>
      <c r="D19" s="9" t="s">
        <v>16</v>
      </c>
      <c r="E19" s="4">
        <v>150</v>
      </c>
      <c r="F19" s="4" t="s">
        <v>37</v>
      </c>
      <c r="G19" s="7">
        <v>46369</v>
      </c>
    </row>
    <row r="20" spans="1:7" ht="15.75" x14ac:dyDescent="0.2">
      <c r="A20" s="3">
        <v>14</v>
      </c>
      <c r="B20" s="4" t="s">
        <v>26</v>
      </c>
      <c r="C20" s="3" t="s">
        <v>25</v>
      </c>
      <c r="D20" s="9" t="s">
        <v>16</v>
      </c>
      <c r="E20" s="4">
        <v>150</v>
      </c>
      <c r="F20" s="4" t="s">
        <v>37</v>
      </c>
      <c r="G20" s="7">
        <v>46370</v>
      </c>
    </row>
    <row r="21" spans="1:7" ht="15.75" x14ac:dyDescent="0.2">
      <c r="A21" s="3">
        <v>15</v>
      </c>
      <c r="B21" s="4" t="s">
        <v>28</v>
      </c>
      <c r="C21" s="3" t="s">
        <v>6</v>
      </c>
      <c r="D21" s="8" t="s">
        <v>15</v>
      </c>
      <c r="E21" s="4">
        <v>99</v>
      </c>
      <c r="F21" s="4" t="s">
        <v>37</v>
      </c>
      <c r="G21" s="7">
        <v>46371</v>
      </c>
    </row>
    <row r="22" spans="1:7" ht="15.75" x14ac:dyDescent="0.2">
      <c r="A22" s="3">
        <v>16</v>
      </c>
      <c r="B22" s="4" t="s">
        <v>28</v>
      </c>
      <c r="C22" s="3" t="s">
        <v>29</v>
      </c>
      <c r="D22" s="10" t="s">
        <v>17</v>
      </c>
      <c r="E22" s="4">
        <v>45</v>
      </c>
      <c r="F22" s="4" t="s">
        <v>37</v>
      </c>
      <c r="G22" s="7">
        <v>46372</v>
      </c>
    </row>
    <row r="23" spans="1:7" ht="15.75" x14ac:dyDescent="0.2">
      <c r="A23" s="3">
        <v>17</v>
      </c>
      <c r="B23" s="4" t="s">
        <v>28</v>
      </c>
      <c r="C23" s="3" t="s">
        <v>30</v>
      </c>
      <c r="D23" s="10" t="s">
        <v>17</v>
      </c>
      <c r="E23" s="4">
        <v>500</v>
      </c>
      <c r="F23" s="4" t="s">
        <v>37</v>
      </c>
      <c r="G23" s="7">
        <v>46373</v>
      </c>
    </row>
    <row r="24" spans="1:7" ht="15.75" x14ac:dyDescent="0.2">
      <c r="A24" s="3">
        <v>18</v>
      </c>
      <c r="B24" s="4" t="s">
        <v>32</v>
      </c>
      <c r="C24" s="3" t="s">
        <v>33</v>
      </c>
      <c r="D24" s="10" t="s">
        <v>17</v>
      </c>
      <c r="E24" s="4">
        <v>99</v>
      </c>
      <c r="F24" s="4" t="s">
        <v>37</v>
      </c>
      <c r="G24" s="7">
        <v>46374</v>
      </c>
    </row>
    <row r="25" spans="1:7" ht="15.75" x14ac:dyDescent="0.2">
      <c r="A25" s="3">
        <v>19</v>
      </c>
      <c r="B25" s="4" t="s">
        <v>32</v>
      </c>
      <c r="C25" s="3" t="s">
        <v>34</v>
      </c>
      <c r="D25" s="11" t="s">
        <v>15</v>
      </c>
      <c r="E25" s="4">
        <v>350</v>
      </c>
      <c r="F25" s="4" t="s">
        <v>37</v>
      </c>
      <c r="G25" s="7">
        <v>46375</v>
      </c>
    </row>
    <row r="26" spans="1:7" ht="15.75" x14ac:dyDescent="0.2">
      <c r="A26" s="13" t="s">
        <v>35</v>
      </c>
      <c r="B26" s="5"/>
      <c r="C26" s="5"/>
      <c r="E26" s="6">
        <f>SUBTOTAL(109,Tabela15247[Valor])</f>
        <v>8359</v>
      </c>
      <c r="F26" s="6"/>
      <c r="G26" s="12"/>
    </row>
  </sheetData>
  <mergeCells count="1">
    <mergeCell ref="B2:B5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1c2eb7a32e66fb6e4260f3771546a5e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04e1f6479c48b08974ba73b5ca973489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E4917D-B4E2-41EC-A344-CAB929C318ED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EB46AF36-0E29-43D5-9042-907F679B3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Geral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2019-07-12T07:09:21Z</dcterms:created>
  <dcterms:modified xsi:type="dcterms:W3CDTF">2026-06-24T23:54:45Z</dcterms:modified>
</cp:coreProperties>
</file>